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Lattice Design Presentation\"/>
    </mc:Choice>
  </mc:AlternateContent>
  <bookViews>
    <workbookView xWindow="0" yWindow="0" windowWidth="16860" windowHeight="885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I6" i="1" s="1"/>
  <c r="D100" i="1" l="1"/>
  <c r="E87" i="1"/>
  <c r="D87" i="1"/>
  <c r="E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D69" i="1"/>
  <c r="B69" i="1"/>
  <c r="E69" i="1" s="1"/>
  <c r="D68" i="1"/>
  <c r="B68" i="1"/>
  <c r="D67" i="1"/>
  <c r="B67" i="1"/>
  <c r="E67" i="1" s="1"/>
  <c r="D66" i="1"/>
  <c r="B66" i="1"/>
  <c r="E66" i="1" s="1"/>
  <c r="D65" i="1"/>
  <c r="B65" i="1"/>
  <c r="E65" i="1" s="1"/>
  <c r="D64" i="1"/>
  <c r="B64" i="1"/>
  <c r="E64" i="1" s="1"/>
  <c r="B63" i="1"/>
  <c r="D38" i="1"/>
  <c r="D39" i="1" s="1"/>
  <c r="H27" i="1"/>
  <c r="I27" i="1" s="1"/>
  <c r="H25" i="1"/>
  <c r="I25" i="1" s="1"/>
  <c r="H23" i="1"/>
  <c r="I23" i="1" s="1"/>
  <c r="H21" i="1"/>
  <c r="I21" i="1" s="1"/>
  <c r="H19" i="1"/>
  <c r="H14" i="1"/>
  <c r="H12" i="1"/>
  <c r="I12" i="1" s="1"/>
  <c r="H10" i="1"/>
  <c r="H8" i="1"/>
  <c r="E68" i="1" l="1"/>
  <c r="I14" i="1"/>
  <c r="I8" i="1"/>
  <c r="E63" i="1"/>
  <c r="H16" i="1"/>
  <c r="H29" i="1"/>
  <c r="I10" i="1"/>
  <c r="I19" i="1"/>
  <c r="I29" i="1" s="1"/>
  <c r="H30" i="1" l="1"/>
  <c r="G32" i="1" s="1"/>
  <c r="I16" i="1"/>
  <c r="F38" i="1"/>
  <c r="G38" i="1" s="1"/>
  <c r="F36" i="1"/>
  <c r="G36" i="1" s="1"/>
  <c r="I30" i="1"/>
  <c r="J42" i="1"/>
  <c r="J41" i="1"/>
  <c r="F35" i="1" l="1"/>
  <c r="F51" i="1"/>
  <c r="F37" i="1"/>
  <c r="G37" i="1" s="1"/>
  <c r="F39" i="1" l="1"/>
  <c r="G39" i="1" s="1"/>
  <c r="B43" i="1" s="1"/>
  <c r="J8" i="1"/>
  <c r="J6" i="1"/>
  <c r="J21" i="1"/>
  <c r="J10" i="1"/>
  <c r="J27" i="1"/>
  <c r="J19" i="1"/>
  <c r="J25" i="1"/>
  <c r="J14" i="1"/>
  <c r="J12" i="1"/>
  <c r="J23" i="1"/>
  <c r="B93" i="1"/>
  <c r="J91" i="1"/>
  <c r="J92" i="1"/>
  <c r="F50" i="1"/>
  <c r="G50" i="1" s="1"/>
  <c r="C63" i="1" l="1"/>
  <c r="D63" i="1" s="1"/>
  <c r="I50" i="1"/>
  <c r="J50" i="1" s="1"/>
  <c r="C86" i="1"/>
  <c r="D86" i="1" s="1"/>
  <c r="J29" i="1"/>
  <c r="J16" i="1"/>
  <c r="J30" i="1"/>
  <c r="D94" i="1"/>
  <c r="B95" i="1"/>
  <c r="D97" i="1" s="1"/>
  <c r="G102" i="1"/>
</calcChain>
</file>

<file path=xl/sharedStrings.xml><?xml version="1.0" encoding="utf-8"?>
<sst xmlns="http://schemas.openxmlformats.org/spreadsheetml/2006/main" count="123" uniqueCount="80">
  <si>
    <t>Lattice Example</t>
  </si>
  <si>
    <t>5 x 5 simple lattice</t>
  </si>
  <si>
    <t>Compute after completing ANOVA</t>
  </si>
  <si>
    <t>Adj</t>
  </si>
  <si>
    <t xml:space="preserve"> </t>
  </si>
  <si>
    <t xml:space="preserve">  </t>
  </si>
  <si>
    <t>Sum</t>
  </si>
  <si>
    <t>II</t>
  </si>
  <si>
    <t xml:space="preserve">   </t>
  </si>
  <si>
    <t>GRAND SUM</t>
  </si>
  <si>
    <t>CF=</t>
  </si>
  <si>
    <t>Source</t>
  </si>
  <si>
    <t>df</t>
  </si>
  <si>
    <t>SS</t>
  </si>
  <si>
    <t>MS</t>
  </si>
  <si>
    <t>Total</t>
  </si>
  <si>
    <r>
      <t>rk</t>
    </r>
    <r>
      <rPr>
        <b/>
        <vertAlign val="superscript"/>
        <sz val="12"/>
        <color indexed="59"/>
        <rFont val="Arial"/>
        <family val="2"/>
      </rPr>
      <t>2</t>
    </r>
    <r>
      <rPr>
        <b/>
        <sz val="12"/>
        <color indexed="59"/>
        <rFont val="Arial"/>
        <family val="2"/>
      </rPr>
      <t>-1</t>
    </r>
  </si>
  <si>
    <t xml:space="preserve">SSTot </t>
  </si>
  <si>
    <t>Replication</t>
  </si>
  <si>
    <t>r-1</t>
  </si>
  <si>
    <t xml:space="preserve">SSR </t>
  </si>
  <si>
    <t>Entry(unadj)</t>
  </si>
  <si>
    <r>
      <t>k</t>
    </r>
    <r>
      <rPr>
        <b/>
        <vertAlign val="superscript"/>
        <sz val="12"/>
        <color indexed="59"/>
        <rFont val="Arial"/>
        <family val="2"/>
      </rPr>
      <t>2</t>
    </r>
    <r>
      <rPr>
        <b/>
        <sz val="12"/>
        <color indexed="59"/>
        <rFont val="Arial"/>
        <family val="2"/>
      </rPr>
      <t>-1</t>
    </r>
  </si>
  <si>
    <t xml:space="preserve">SST </t>
  </si>
  <si>
    <t>Block in rep(adj)</t>
  </si>
  <si>
    <t>r(k-1)</t>
  </si>
  <si>
    <t>SSB</t>
  </si>
  <si>
    <r>
      <t>E</t>
    </r>
    <r>
      <rPr>
        <vertAlign val="subscript"/>
        <sz val="12"/>
        <rFont val="Arial"/>
        <family val="2"/>
      </rPr>
      <t>b</t>
    </r>
  </si>
  <si>
    <t>is Eb&gt;Ee?</t>
  </si>
  <si>
    <t>Intrablock error</t>
  </si>
  <si>
    <t>(k-1)(rk-k-1)</t>
  </si>
  <si>
    <t>SSE</t>
  </si>
  <si>
    <r>
      <t>E</t>
    </r>
    <r>
      <rPr>
        <vertAlign val="subscript"/>
        <sz val="12"/>
        <rFont val="Arial"/>
        <family val="2"/>
      </rPr>
      <t>e</t>
    </r>
  </si>
  <si>
    <t>Variance of means in same block</t>
  </si>
  <si>
    <t>A=</t>
  </si>
  <si>
    <r>
      <t>(E</t>
    </r>
    <r>
      <rPr>
        <vertAlign val="subscript"/>
        <sz val="12"/>
        <color indexed="59"/>
        <rFont val="Arial"/>
        <family val="2"/>
      </rPr>
      <t>b</t>
    </r>
    <r>
      <rPr>
        <sz val="12"/>
        <color indexed="59"/>
        <rFont val="Arial"/>
        <family val="2"/>
      </rPr>
      <t xml:space="preserve"> - E</t>
    </r>
    <r>
      <rPr>
        <vertAlign val="subscript"/>
        <sz val="12"/>
        <color indexed="59"/>
        <rFont val="Arial"/>
        <family val="2"/>
      </rPr>
      <t>e</t>
    </r>
    <r>
      <rPr>
        <sz val="12"/>
        <color indexed="59"/>
        <rFont val="Arial"/>
        <family val="2"/>
      </rPr>
      <t xml:space="preserve"> )/(k(r-1)E</t>
    </r>
    <r>
      <rPr>
        <vertAlign val="subscript"/>
        <sz val="12"/>
        <color indexed="59"/>
        <rFont val="Arial"/>
        <family val="2"/>
      </rPr>
      <t>b</t>
    </r>
    <r>
      <rPr>
        <sz val="12"/>
        <color indexed="59"/>
        <rFont val="Arial"/>
        <family val="2"/>
      </rPr>
      <t xml:space="preserve">) </t>
    </r>
  </si>
  <si>
    <t>F</t>
  </si>
  <si>
    <t>Prob&gt;F</t>
  </si>
  <si>
    <r>
      <t>rk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-1</t>
    </r>
  </si>
  <si>
    <t xml:space="preserve">SSTOT </t>
  </si>
  <si>
    <r>
      <t>k</t>
    </r>
    <r>
      <rPr>
        <b/>
        <vertAlign val="superscript"/>
        <sz val="12"/>
        <color indexed="23"/>
        <rFont val="Arial"/>
        <family val="2"/>
      </rPr>
      <t>2</t>
    </r>
    <r>
      <rPr>
        <b/>
        <sz val="12"/>
        <color indexed="23"/>
        <rFont val="Arial"/>
        <family val="2"/>
      </rPr>
      <t>-1</t>
    </r>
  </si>
  <si>
    <t>Entry(adj)</t>
  </si>
  <si>
    <r>
      <t>k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-1</t>
    </r>
  </si>
  <si>
    <r>
      <t>SST</t>
    </r>
    <r>
      <rPr>
        <vertAlign val="subscript"/>
        <sz val="12"/>
        <rFont val="Arial"/>
        <family val="2"/>
      </rPr>
      <t>adj</t>
    </r>
  </si>
  <si>
    <t>Block in rep(unadj)</t>
  </si>
  <si>
    <r>
      <t>SSB</t>
    </r>
    <r>
      <rPr>
        <b/>
        <vertAlign val="subscript"/>
        <sz val="12"/>
        <color indexed="23"/>
        <rFont val="Arial"/>
        <family val="2"/>
      </rPr>
      <t>u</t>
    </r>
  </si>
  <si>
    <r>
      <t>SSB</t>
    </r>
    <r>
      <rPr>
        <b/>
        <vertAlign val="subscript"/>
        <sz val="12"/>
        <color indexed="59"/>
        <rFont val="Arial"/>
        <family val="2"/>
      </rPr>
      <t>u</t>
    </r>
    <r>
      <rPr>
        <b/>
        <sz val="12"/>
        <color indexed="59"/>
        <rFont val="Arial"/>
      </rPr>
      <t xml:space="preserve"> = (1/k)</t>
    </r>
    <r>
      <rPr>
        <b/>
        <sz val="12"/>
        <color indexed="59"/>
        <rFont val="Symbol"/>
        <family val="1"/>
        <charset val="2"/>
      </rPr>
      <t>S</t>
    </r>
    <r>
      <rPr>
        <b/>
        <sz val="12"/>
        <color indexed="59"/>
        <rFont val="Arial"/>
      </rPr>
      <t>B</t>
    </r>
    <r>
      <rPr>
        <b/>
        <vertAlign val="subscript"/>
        <sz val="12"/>
        <color indexed="59"/>
        <rFont val="Arial"/>
        <family val="2"/>
      </rPr>
      <t>il</t>
    </r>
    <r>
      <rPr>
        <b/>
        <vertAlign val="superscript"/>
        <sz val="12"/>
        <color indexed="59"/>
        <rFont val="Arial"/>
        <family val="2"/>
      </rPr>
      <t>2</t>
    </r>
    <r>
      <rPr>
        <b/>
        <sz val="12"/>
        <color indexed="59"/>
        <rFont val="Arial"/>
      </rPr>
      <t xml:space="preserve"> - (G</t>
    </r>
    <r>
      <rPr>
        <b/>
        <vertAlign val="superscript"/>
        <sz val="12"/>
        <color indexed="59"/>
        <rFont val="Arial"/>
        <family val="2"/>
      </rPr>
      <t>2</t>
    </r>
    <r>
      <rPr>
        <b/>
        <sz val="12"/>
        <color indexed="59"/>
        <rFont val="Arial"/>
      </rPr>
      <t>/rk</t>
    </r>
    <r>
      <rPr>
        <b/>
        <vertAlign val="superscript"/>
        <sz val="12"/>
        <color indexed="59"/>
        <rFont val="Arial"/>
        <family val="2"/>
      </rPr>
      <t>2</t>
    </r>
    <r>
      <rPr>
        <b/>
        <sz val="12"/>
        <color indexed="59"/>
        <rFont val="Arial"/>
      </rPr>
      <t xml:space="preserve">) - SSR </t>
    </r>
  </si>
  <si>
    <r>
      <t>SST</t>
    </r>
    <r>
      <rPr>
        <b/>
        <vertAlign val="subscript"/>
        <sz val="12"/>
        <color indexed="59"/>
        <rFont val="Arial"/>
        <family val="2"/>
      </rPr>
      <t>adj</t>
    </r>
    <r>
      <rPr>
        <b/>
        <sz val="12"/>
        <color indexed="59"/>
        <rFont val="Arial"/>
        <family val="2"/>
      </rPr>
      <t xml:space="preserve"> = SST- A k (r-1) [ ((rSSB</t>
    </r>
    <r>
      <rPr>
        <b/>
        <vertAlign val="subscript"/>
        <sz val="12"/>
        <color indexed="59"/>
        <rFont val="Arial"/>
        <family val="2"/>
      </rPr>
      <t>u</t>
    </r>
    <r>
      <rPr>
        <b/>
        <sz val="12"/>
        <color indexed="59"/>
        <rFont val="Arial"/>
        <family val="2"/>
      </rPr>
      <t xml:space="preserve">)/(r-1)(1+kA))-SSB] </t>
    </r>
  </si>
  <si>
    <t>Entry</t>
  </si>
  <si>
    <t>Total(unadj)</t>
  </si>
  <si>
    <t>Total(adj)</t>
  </si>
  <si>
    <t>Mean(Adj)</t>
  </si>
  <si>
    <t>Mean(unadj)</t>
  </si>
  <si>
    <t>widely grown check</t>
  </si>
  <si>
    <t>long-time check</t>
  </si>
  <si>
    <t>latest release</t>
  </si>
  <si>
    <t>For computing standard errors and CI among adjusted means, compute effective error:</t>
  </si>
  <si>
    <r>
      <t>SED adjusted means in the same block = sqrt((2E</t>
    </r>
    <r>
      <rPr>
        <b/>
        <vertAlign val="subscript"/>
        <sz val="12"/>
        <color indexed="59"/>
        <rFont val="Arial"/>
        <family val="2"/>
      </rPr>
      <t>e</t>
    </r>
    <r>
      <rPr>
        <b/>
        <sz val="12"/>
        <color indexed="59"/>
        <rFont val="Arial"/>
        <family val="2"/>
      </rPr>
      <t xml:space="preserve">/r)(1+(r-1)A)) </t>
    </r>
  </si>
  <si>
    <r>
      <t>E</t>
    </r>
    <r>
      <rPr>
        <b/>
        <vertAlign val="subscript"/>
        <sz val="12"/>
        <color indexed="59"/>
        <rFont val="Arial"/>
        <family val="2"/>
      </rPr>
      <t>e</t>
    </r>
    <r>
      <rPr>
        <b/>
        <sz val="12"/>
        <color indexed="59"/>
        <rFont val="Arial"/>
        <family val="2"/>
      </rPr>
      <t>’ = (1+(rkA)/(k+1))E</t>
    </r>
    <r>
      <rPr>
        <b/>
        <vertAlign val="subscript"/>
        <sz val="12"/>
        <color indexed="59"/>
        <rFont val="Arial"/>
        <family val="2"/>
      </rPr>
      <t>e</t>
    </r>
    <r>
      <rPr>
        <b/>
        <sz val="12"/>
        <color indexed="59"/>
        <rFont val="Arial"/>
        <family val="2"/>
      </rPr>
      <t xml:space="preserve"> </t>
    </r>
  </si>
  <si>
    <r>
      <t>SED adjusted means in different blocks = sqrt((2E</t>
    </r>
    <r>
      <rPr>
        <b/>
        <vertAlign val="subscript"/>
        <sz val="12"/>
        <color indexed="59"/>
        <rFont val="Arial"/>
        <family val="2"/>
      </rPr>
      <t>e</t>
    </r>
    <r>
      <rPr>
        <b/>
        <sz val="12"/>
        <color indexed="59"/>
        <rFont val="Arial"/>
        <family val="2"/>
      </rPr>
      <t>/r)(1+rA))</t>
    </r>
  </si>
  <si>
    <r>
      <t>E</t>
    </r>
    <r>
      <rPr>
        <vertAlign val="subscript"/>
        <sz val="12"/>
        <rFont val="Arial"/>
        <family val="2"/>
      </rPr>
      <t>e</t>
    </r>
    <r>
      <rPr>
        <sz val="12"/>
        <rFont val="Arial"/>
        <family val="2"/>
      </rPr>
      <t>’ =</t>
    </r>
  </si>
  <si>
    <r>
      <t>SED = sqrt(2E</t>
    </r>
    <r>
      <rPr>
        <b/>
        <vertAlign val="subscript"/>
        <sz val="12"/>
        <color indexed="59"/>
        <rFont val="Arial"/>
        <family val="2"/>
      </rPr>
      <t>e</t>
    </r>
    <r>
      <rPr>
        <b/>
        <sz val="12"/>
        <color indexed="59"/>
        <rFont val="Arial"/>
        <family val="2"/>
      </rPr>
      <t xml:space="preserve">’ / r) </t>
    </r>
  </si>
  <si>
    <t>In fact, the errors are different when comparing means in the same block vs means in different blocks. This approximation is OK when K&gt;4</t>
  </si>
  <si>
    <t>LSI</t>
  </si>
  <si>
    <t>Local check + LSI</t>
  </si>
  <si>
    <r>
      <t>B</t>
    </r>
    <r>
      <rPr>
        <b/>
        <vertAlign val="subscript"/>
        <sz val="12"/>
        <color indexed="59"/>
        <rFont val="Arial"/>
        <family val="2"/>
      </rPr>
      <t>jl</t>
    </r>
  </si>
  <si>
    <r>
      <t>C</t>
    </r>
    <r>
      <rPr>
        <b/>
        <vertAlign val="subscript"/>
        <sz val="12"/>
        <color indexed="59"/>
        <rFont val="Arial"/>
        <family val="2"/>
      </rPr>
      <t>jl</t>
    </r>
  </si>
  <si>
    <t>Barley variety yields in kg/plot</t>
  </si>
  <si>
    <t>Source: R.G. Petersen (1994) Agricultural Field Experiments</t>
  </si>
  <si>
    <r>
      <t>Sum of the treatments in this block over all replications minus r*B</t>
    </r>
    <r>
      <rPr>
        <vertAlign val="subscript"/>
        <sz val="12"/>
        <rFont val="Arial"/>
        <family val="2"/>
      </rPr>
      <t>jl</t>
    </r>
  </si>
  <si>
    <r>
      <t>(1/kr(r-1))</t>
    </r>
    <r>
      <rPr>
        <b/>
        <sz val="12"/>
        <color indexed="59"/>
        <rFont val="Symbol"/>
        <family val="1"/>
        <charset val="2"/>
      </rPr>
      <t xml:space="preserve"> S </t>
    </r>
    <r>
      <rPr>
        <b/>
        <sz val="12"/>
        <color indexed="59"/>
        <rFont val="Arial"/>
      </rPr>
      <t>C</t>
    </r>
    <r>
      <rPr>
        <b/>
        <vertAlign val="subscript"/>
        <sz val="12"/>
        <color indexed="59"/>
        <rFont val="Arial"/>
        <family val="2"/>
      </rPr>
      <t>jl</t>
    </r>
    <r>
      <rPr>
        <b/>
        <vertAlign val="superscript"/>
        <sz val="12"/>
        <color indexed="59"/>
        <rFont val="Arial"/>
        <family val="2"/>
      </rPr>
      <t>2</t>
    </r>
  </si>
  <si>
    <r>
      <t>(1/k</t>
    </r>
    <r>
      <rPr>
        <b/>
        <vertAlign val="superscript"/>
        <sz val="12"/>
        <color indexed="59"/>
        <rFont val="Arial"/>
        <family val="2"/>
      </rPr>
      <t>2</t>
    </r>
    <r>
      <rPr>
        <b/>
        <sz val="12"/>
        <color indexed="59"/>
        <rFont val="Arial"/>
      </rPr>
      <t xml:space="preserve">r(r-1)) </t>
    </r>
    <r>
      <rPr>
        <b/>
        <sz val="12"/>
        <color indexed="59"/>
        <rFont val="Symbol"/>
        <family val="1"/>
        <charset val="2"/>
      </rPr>
      <t xml:space="preserve">S </t>
    </r>
    <r>
      <rPr>
        <b/>
        <sz val="12"/>
        <color indexed="59"/>
        <rFont val="Arial"/>
      </rPr>
      <t>C</t>
    </r>
    <r>
      <rPr>
        <b/>
        <vertAlign val="subscript"/>
        <sz val="12"/>
        <color indexed="59"/>
        <rFont val="Arial"/>
        <family val="2"/>
      </rPr>
      <t>j</t>
    </r>
    <r>
      <rPr>
        <b/>
        <vertAlign val="superscript"/>
        <sz val="12"/>
        <color indexed="59"/>
        <rFont val="Arial"/>
        <family val="2"/>
      </rPr>
      <t>2</t>
    </r>
    <r>
      <rPr>
        <b/>
        <sz val="12"/>
        <color indexed="59"/>
        <rFont val="Arial"/>
      </rPr>
      <t xml:space="preserve"> </t>
    </r>
  </si>
  <si>
    <r>
      <t>SSB = (1/kr(r-1))</t>
    </r>
    <r>
      <rPr>
        <sz val="12"/>
        <color indexed="59"/>
        <rFont val="Symbol"/>
        <family val="1"/>
        <charset val="2"/>
      </rPr>
      <t xml:space="preserve"> S </t>
    </r>
    <r>
      <rPr>
        <sz val="12"/>
        <color indexed="59"/>
        <rFont val="Arial"/>
      </rPr>
      <t>C</t>
    </r>
    <r>
      <rPr>
        <vertAlign val="subscript"/>
        <sz val="12"/>
        <color indexed="59"/>
        <rFont val="Arial"/>
        <family val="2"/>
      </rPr>
      <t>jl</t>
    </r>
    <r>
      <rPr>
        <vertAlign val="superscript"/>
        <sz val="12"/>
        <color indexed="59"/>
        <rFont val="Arial"/>
        <family val="2"/>
      </rPr>
      <t>2</t>
    </r>
    <r>
      <rPr>
        <sz val="12"/>
        <color indexed="59"/>
        <rFont val="Arial"/>
      </rPr>
      <t xml:space="preserve"> - (1/k</t>
    </r>
    <r>
      <rPr>
        <vertAlign val="superscript"/>
        <sz val="12"/>
        <color indexed="59"/>
        <rFont val="Arial"/>
        <family val="2"/>
      </rPr>
      <t>2</t>
    </r>
    <r>
      <rPr>
        <sz val="12"/>
        <color indexed="59"/>
        <rFont val="Arial"/>
      </rPr>
      <t xml:space="preserve">r(r-1)) </t>
    </r>
    <r>
      <rPr>
        <sz val="12"/>
        <color indexed="59"/>
        <rFont val="Symbol"/>
        <family val="1"/>
        <charset val="2"/>
      </rPr>
      <t xml:space="preserve">S </t>
    </r>
    <r>
      <rPr>
        <sz val="12"/>
        <color indexed="59"/>
        <rFont val="Arial"/>
      </rPr>
      <t>C</t>
    </r>
    <r>
      <rPr>
        <vertAlign val="subscript"/>
        <sz val="12"/>
        <color indexed="59"/>
        <rFont val="Arial"/>
        <family val="2"/>
      </rPr>
      <t>j</t>
    </r>
    <r>
      <rPr>
        <vertAlign val="superscript"/>
        <sz val="12"/>
        <color indexed="59"/>
        <rFont val="Arial"/>
        <family val="2"/>
      </rPr>
      <t>2</t>
    </r>
    <r>
      <rPr>
        <sz val="12"/>
        <color indexed="59"/>
        <rFont val="Arial"/>
      </rPr>
      <t xml:space="preserve"> </t>
    </r>
  </si>
  <si>
    <t>Block in reps(adj)</t>
  </si>
  <si>
    <r>
      <t>E</t>
    </r>
    <r>
      <rPr>
        <b/>
        <vertAlign val="subscript"/>
        <sz val="12"/>
        <color indexed="59"/>
        <rFont val="Arial"/>
        <family val="2"/>
      </rPr>
      <t>RCBD</t>
    </r>
    <r>
      <rPr>
        <b/>
        <sz val="12"/>
        <color indexed="59"/>
        <rFont val="Arial"/>
        <family val="2"/>
      </rPr>
      <t xml:space="preserve"> = ((SSB+SSE)/(k</t>
    </r>
    <r>
      <rPr>
        <b/>
        <vertAlign val="superscript"/>
        <sz val="12"/>
        <color indexed="59"/>
        <rFont val="Arial"/>
        <family val="2"/>
      </rPr>
      <t>2</t>
    </r>
    <r>
      <rPr>
        <b/>
        <sz val="12"/>
        <color indexed="59"/>
        <rFont val="Arial"/>
        <family val="2"/>
      </rPr>
      <t xml:space="preserve">-1)(r-1)) </t>
    </r>
  </si>
  <si>
    <t>RE of lattice to an RCBD</t>
  </si>
  <si>
    <r>
      <t>RE =(E</t>
    </r>
    <r>
      <rPr>
        <b/>
        <vertAlign val="subscript"/>
        <sz val="12"/>
        <color indexed="59"/>
        <rFont val="Arial"/>
        <family val="2"/>
      </rPr>
      <t>RCBD</t>
    </r>
    <r>
      <rPr>
        <b/>
        <sz val="12"/>
        <color indexed="59"/>
        <rFont val="Arial"/>
        <family val="2"/>
      </rPr>
      <t>/E</t>
    </r>
    <r>
      <rPr>
        <b/>
        <vertAlign val="subscript"/>
        <sz val="12"/>
        <color indexed="59"/>
        <rFont val="Arial"/>
        <family val="2"/>
      </rPr>
      <t>e</t>
    </r>
    <r>
      <rPr>
        <b/>
        <sz val="12"/>
        <color indexed="59"/>
        <rFont val="Arial"/>
        <family val="2"/>
      </rPr>
      <t>’ )*100</t>
    </r>
  </si>
  <si>
    <t>Estimated Error Mean Square of RCBD:</t>
  </si>
  <si>
    <t>It may be better to use the effective error in the denominator of the F test (see effective error calculation below)</t>
  </si>
  <si>
    <t>F for entries =20.933/6.26 = 3.34**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</si>
</sst>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Arial"/>
    </font>
    <font>
      <vertAlign val="subscript"/>
      <sz val="12"/>
      <name val="Arial"/>
      <family val="2"/>
    </font>
    <font>
      <b/>
      <sz val="12"/>
      <color indexed="59"/>
      <name val="Arial"/>
      <family val="2"/>
    </font>
    <font>
      <b/>
      <vertAlign val="subscript"/>
      <sz val="12"/>
      <color indexed="59"/>
      <name val="Arial"/>
      <family val="2"/>
    </font>
    <font>
      <b/>
      <sz val="12"/>
      <color indexed="59"/>
      <name val="Symbol"/>
      <family val="1"/>
      <charset val="2"/>
    </font>
    <font>
      <b/>
      <sz val="12"/>
      <color indexed="8"/>
      <name val="Arial"/>
      <family val="2"/>
    </font>
    <font>
      <b/>
      <vertAlign val="superscript"/>
      <sz val="12"/>
      <color indexed="59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59"/>
      <name val="Arial"/>
    </font>
    <font>
      <sz val="12"/>
      <color indexed="59"/>
      <name val="Symbol"/>
      <family val="1"/>
      <charset val="2"/>
    </font>
    <font>
      <vertAlign val="subscript"/>
      <sz val="12"/>
      <color indexed="59"/>
      <name val="Arial"/>
      <family val="2"/>
    </font>
    <font>
      <vertAlign val="superscript"/>
      <sz val="12"/>
      <color indexed="59"/>
      <name val="Arial"/>
      <family val="2"/>
    </font>
    <font>
      <b/>
      <sz val="12"/>
      <color indexed="59"/>
      <name val="Arial"/>
    </font>
    <font>
      <b/>
      <sz val="12"/>
      <color indexed="10"/>
      <name val="Arial"/>
      <family val="2"/>
    </font>
    <font>
      <sz val="12"/>
      <color indexed="59"/>
      <name val="Arial"/>
      <family val="2"/>
    </font>
    <font>
      <b/>
      <vertAlign val="superscript"/>
      <sz val="12"/>
      <name val="Arial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vertAlign val="superscript"/>
      <sz val="12"/>
      <color indexed="23"/>
      <name val="Arial"/>
      <family val="2"/>
    </font>
    <font>
      <b/>
      <vertAlign val="subscript"/>
      <sz val="12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/>
    </xf>
    <xf numFmtId="0" fontId="1" fillId="0" borderId="0" xfId="0" applyNumberFormat="1" applyFont="1"/>
    <xf numFmtId="0" fontId="2" fillId="0" borderId="0" xfId="0" applyNumberFormat="1" applyFont="1"/>
    <xf numFmtId="0" fontId="7" fillId="0" borderId="0" xfId="0" applyFont="1"/>
    <xf numFmtId="0" fontId="5" fillId="0" borderId="0" xfId="0" applyNumberFormat="1" applyFont="1"/>
    <xf numFmtId="0" fontId="8" fillId="0" borderId="0" xfId="0" applyFont="1"/>
    <xf numFmtId="1" fontId="5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1" xfId="0" applyFont="1" applyBorder="1"/>
    <xf numFmtId="0" fontId="20" fillId="0" borderId="0" xfId="0" applyFont="1"/>
    <xf numFmtId="0" fontId="21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2" fillId="3" borderId="0" xfId="0" applyFont="1" applyFill="1" applyAlignment="1">
      <alignment horizontal="left"/>
    </xf>
    <xf numFmtId="164" fontId="2" fillId="0" borderId="0" xfId="0" applyNumberFormat="1" applyFont="1" applyAlignment="1">
      <alignment horizontal="left"/>
    </xf>
    <xf numFmtId="164" fontId="10" fillId="0" borderId="0" xfId="0" applyNumberFormat="1" applyFont="1"/>
    <xf numFmtId="2" fontId="10" fillId="0" borderId="0" xfId="0" applyNumberFormat="1" applyFont="1"/>
    <xf numFmtId="2" fontId="2" fillId="0" borderId="0" xfId="0" applyNumberFormat="1" applyFont="1"/>
    <xf numFmtId="0" fontId="2" fillId="3" borderId="0" xfId="0" applyFont="1" applyFill="1"/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251460</xdr:colOff>
      <xdr:row>3</xdr:row>
      <xdr:rowOff>53340</xdr:rowOff>
    </xdr:from>
    <xdr:to>
      <xdr:col>9</xdr:col>
      <xdr:colOff>259080</xdr:colOff>
      <xdr:row>4</xdr:row>
      <xdr:rowOff>22860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459980" y="251460"/>
          <a:ext cx="7620" cy="2057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3</xdr:row>
      <xdr:rowOff>198120</xdr:rowOff>
    </xdr:from>
    <xdr:to>
      <xdr:col>8</xdr:col>
      <xdr:colOff>335280</xdr:colOff>
      <xdr:row>4</xdr:row>
      <xdr:rowOff>121920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385560" y="792480"/>
          <a:ext cx="220980" cy="1600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297180</xdr:colOff>
      <xdr:row>50</xdr:row>
      <xdr:rowOff>152400</xdr:rowOff>
    </xdr:from>
    <xdr:to>
      <xdr:col>7</xdr:col>
      <xdr:colOff>411480</xdr:colOff>
      <xdr:row>52</xdr:row>
      <xdr:rowOff>83820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 flipV="1">
          <a:off x="5532120" y="10043160"/>
          <a:ext cx="114300" cy="3962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</xdr:colOff>
      <xdr:row>49</xdr:row>
      <xdr:rowOff>182880</xdr:rowOff>
    </xdr:from>
    <xdr:to>
      <xdr:col>7</xdr:col>
      <xdr:colOff>419100</xdr:colOff>
      <xdr:row>50</xdr:row>
      <xdr:rowOff>167640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 flipV="1">
          <a:off x="5273040" y="9829800"/>
          <a:ext cx="3810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373380</xdr:colOff>
      <xdr:row>38</xdr:row>
      <xdr:rowOff>7620</xdr:rowOff>
    </xdr:from>
    <xdr:to>
      <xdr:col>7</xdr:col>
      <xdr:colOff>502920</xdr:colOff>
      <xdr:row>38</xdr:row>
      <xdr:rowOff>144780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 flipV="1">
          <a:off x="5608320" y="7711440"/>
          <a:ext cx="129540" cy="137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304800</xdr:colOff>
      <xdr:row>37</xdr:row>
      <xdr:rowOff>129540</xdr:rowOff>
    </xdr:from>
    <xdr:to>
      <xdr:col>7</xdr:col>
      <xdr:colOff>487680</xdr:colOff>
      <xdr:row>38</xdr:row>
      <xdr:rowOff>7620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 flipH="1" flipV="1">
          <a:off x="5539740" y="7200900"/>
          <a:ext cx="18288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tabSelected="1" workbookViewId="0">
      <selection activeCell="H84" sqref="H84"/>
    </sheetView>
  </sheetViews>
  <sheetFormatPr defaultColWidth="9.109375" defaultRowHeight="15" x14ac:dyDescent="0.25"/>
  <cols>
    <col min="1" max="1" width="9.109375" style="2"/>
    <col min="2" max="2" width="14.44140625" style="2" bestFit="1" customWidth="1"/>
    <col min="3" max="3" width="13.33203125" style="2" customWidth="1"/>
    <col min="4" max="4" width="12.109375" style="2" bestFit="1" customWidth="1"/>
    <col min="5" max="7" width="9.109375" style="2"/>
    <col min="8" max="8" width="15.109375" style="2" customWidth="1"/>
    <col min="9" max="9" width="13.6640625" style="2" bestFit="1" customWidth="1"/>
    <col min="10" max="10" width="9.109375" style="2"/>
    <col min="11" max="11" width="10.33203125" style="2" bestFit="1" customWidth="1"/>
    <col min="12" max="257" width="9.109375" style="2"/>
    <col min="258" max="258" width="14.44140625" style="2" bestFit="1" customWidth="1"/>
    <col min="259" max="259" width="13.33203125" style="2" customWidth="1"/>
    <col min="260" max="260" width="12.109375" style="2" bestFit="1" customWidth="1"/>
    <col min="261" max="263" width="9.109375" style="2"/>
    <col min="264" max="264" width="15.109375" style="2" customWidth="1"/>
    <col min="265" max="265" width="13.6640625" style="2" bestFit="1" customWidth="1"/>
    <col min="266" max="266" width="9.109375" style="2"/>
    <col min="267" max="267" width="10.33203125" style="2" bestFit="1" customWidth="1"/>
    <col min="268" max="513" width="9.109375" style="2"/>
    <col min="514" max="514" width="14.44140625" style="2" bestFit="1" customWidth="1"/>
    <col min="515" max="515" width="13.33203125" style="2" customWidth="1"/>
    <col min="516" max="516" width="12.109375" style="2" bestFit="1" customWidth="1"/>
    <col min="517" max="519" width="9.109375" style="2"/>
    <col min="520" max="520" width="15.109375" style="2" customWidth="1"/>
    <col min="521" max="521" width="13.6640625" style="2" bestFit="1" customWidth="1"/>
    <col min="522" max="522" width="9.109375" style="2"/>
    <col min="523" max="523" width="10.33203125" style="2" bestFit="1" customWidth="1"/>
    <col min="524" max="769" width="9.109375" style="2"/>
    <col min="770" max="770" width="14.44140625" style="2" bestFit="1" customWidth="1"/>
    <col min="771" max="771" width="13.33203125" style="2" customWidth="1"/>
    <col min="772" max="772" width="12.109375" style="2" bestFit="1" customWidth="1"/>
    <col min="773" max="775" width="9.109375" style="2"/>
    <col min="776" max="776" width="15.109375" style="2" customWidth="1"/>
    <col min="777" max="777" width="13.6640625" style="2" bestFit="1" customWidth="1"/>
    <col min="778" max="778" width="9.109375" style="2"/>
    <col min="779" max="779" width="10.33203125" style="2" bestFit="1" customWidth="1"/>
    <col min="780" max="1025" width="9.109375" style="2"/>
    <col min="1026" max="1026" width="14.44140625" style="2" bestFit="1" customWidth="1"/>
    <col min="1027" max="1027" width="13.33203125" style="2" customWidth="1"/>
    <col min="1028" max="1028" width="12.109375" style="2" bestFit="1" customWidth="1"/>
    <col min="1029" max="1031" width="9.109375" style="2"/>
    <col min="1032" max="1032" width="15.109375" style="2" customWidth="1"/>
    <col min="1033" max="1033" width="13.6640625" style="2" bestFit="1" customWidth="1"/>
    <col min="1034" max="1034" width="9.109375" style="2"/>
    <col min="1035" max="1035" width="10.33203125" style="2" bestFit="1" customWidth="1"/>
    <col min="1036" max="1281" width="9.109375" style="2"/>
    <col min="1282" max="1282" width="14.44140625" style="2" bestFit="1" customWidth="1"/>
    <col min="1283" max="1283" width="13.33203125" style="2" customWidth="1"/>
    <col min="1284" max="1284" width="12.109375" style="2" bestFit="1" customWidth="1"/>
    <col min="1285" max="1287" width="9.109375" style="2"/>
    <col min="1288" max="1288" width="15.109375" style="2" customWidth="1"/>
    <col min="1289" max="1289" width="13.6640625" style="2" bestFit="1" customWidth="1"/>
    <col min="1290" max="1290" width="9.109375" style="2"/>
    <col min="1291" max="1291" width="10.33203125" style="2" bestFit="1" customWidth="1"/>
    <col min="1292" max="1537" width="9.109375" style="2"/>
    <col min="1538" max="1538" width="14.44140625" style="2" bestFit="1" customWidth="1"/>
    <col min="1539" max="1539" width="13.33203125" style="2" customWidth="1"/>
    <col min="1540" max="1540" width="12.109375" style="2" bestFit="1" customWidth="1"/>
    <col min="1541" max="1543" width="9.109375" style="2"/>
    <col min="1544" max="1544" width="15.109375" style="2" customWidth="1"/>
    <col min="1545" max="1545" width="13.6640625" style="2" bestFit="1" customWidth="1"/>
    <col min="1546" max="1546" width="9.109375" style="2"/>
    <col min="1547" max="1547" width="10.33203125" style="2" bestFit="1" customWidth="1"/>
    <col min="1548" max="1793" width="9.109375" style="2"/>
    <col min="1794" max="1794" width="14.44140625" style="2" bestFit="1" customWidth="1"/>
    <col min="1795" max="1795" width="13.33203125" style="2" customWidth="1"/>
    <col min="1796" max="1796" width="12.109375" style="2" bestFit="1" customWidth="1"/>
    <col min="1797" max="1799" width="9.109375" style="2"/>
    <col min="1800" max="1800" width="15.109375" style="2" customWidth="1"/>
    <col min="1801" max="1801" width="13.6640625" style="2" bestFit="1" customWidth="1"/>
    <col min="1802" max="1802" width="9.109375" style="2"/>
    <col min="1803" max="1803" width="10.33203125" style="2" bestFit="1" customWidth="1"/>
    <col min="1804" max="2049" width="9.109375" style="2"/>
    <col min="2050" max="2050" width="14.44140625" style="2" bestFit="1" customWidth="1"/>
    <col min="2051" max="2051" width="13.33203125" style="2" customWidth="1"/>
    <col min="2052" max="2052" width="12.109375" style="2" bestFit="1" customWidth="1"/>
    <col min="2053" max="2055" width="9.109375" style="2"/>
    <col min="2056" max="2056" width="15.109375" style="2" customWidth="1"/>
    <col min="2057" max="2057" width="13.6640625" style="2" bestFit="1" customWidth="1"/>
    <col min="2058" max="2058" width="9.109375" style="2"/>
    <col min="2059" max="2059" width="10.33203125" style="2" bestFit="1" customWidth="1"/>
    <col min="2060" max="2305" width="9.109375" style="2"/>
    <col min="2306" max="2306" width="14.44140625" style="2" bestFit="1" customWidth="1"/>
    <col min="2307" max="2307" width="13.33203125" style="2" customWidth="1"/>
    <col min="2308" max="2308" width="12.109375" style="2" bestFit="1" customWidth="1"/>
    <col min="2309" max="2311" width="9.109375" style="2"/>
    <col min="2312" max="2312" width="15.109375" style="2" customWidth="1"/>
    <col min="2313" max="2313" width="13.6640625" style="2" bestFit="1" customWidth="1"/>
    <col min="2314" max="2314" width="9.109375" style="2"/>
    <col min="2315" max="2315" width="10.33203125" style="2" bestFit="1" customWidth="1"/>
    <col min="2316" max="2561" width="9.109375" style="2"/>
    <col min="2562" max="2562" width="14.44140625" style="2" bestFit="1" customWidth="1"/>
    <col min="2563" max="2563" width="13.33203125" style="2" customWidth="1"/>
    <col min="2564" max="2564" width="12.109375" style="2" bestFit="1" customWidth="1"/>
    <col min="2565" max="2567" width="9.109375" style="2"/>
    <col min="2568" max="2568" width="15.109375" style="2" customWidth="1"/>
    <col min="2569" max="2569" width="13.6640625" style="2" bestFit="1" customWidth="1"/>
    <col min="2570" max="2570" width="9.109375" style="2"/>
    <col min="2571" max="2571" width="10.33203125" style="2" bestFit="1" customWidth="1"/>
    <col min="2572" max="2817" width="9.109375" style="2"/>
    <col min="2818" max="2818" width="14.44140625" style="2" bestFit="1" customWidth="1"/>
    <col min="2819" max="2819" width="13.33203125" style="2" customWidth="1"/>
    <col min="2820" max="2820" width="12.109375" style="2" bestFit="1" customWidth="1"/>
    <col min="2821" max="2823" width="9.109375" style="2"/>
    <col min="2824" max="2824" width="15.109375" style="2" customWidth="1"/>
    <col min="2825" max="2825" width="13.6640625" style="2" bestFit="1" customWidth="1"/>
    <col min="2826" max="2826" width="9.109375" style="2"/>
    <col min="2827" max="2827" width="10.33203125" style="2" bestFit="1" customWidth="1"/>
    <col min="2828" max="3073" width="9.109375" style="2"/>
    <col min="3074" max="3074" width="14.44140625" style="2" bestFit="1" customWidth="1"/>
    <col min="3075" max="3075" width="13.33203125" style="2" customWidth="1"/>
    <col min="3076" max="3076" width="12.109375" style="2" bestFit="1" customWidth="1"/>
    <col min="3077" max="3079" width="9.109375" style="2"/>
    <col min="3080" max="3080" width="15.109375" style="2" customWidth="1"/>
    <col min="3081" max="3081" width="13.6640625" style="2" bestFit="1" customWidth="1"/>
    <col min="3082" max="3082" width="9.109375" style="2"/>
    <col min="3083" max="3083" width="10.33203125" style="2" bestFit="1" customWidth="1"/>
    <col min="3084" max="3329" width="9.109375" style="2"/>
    <col min="3330" max="3330" width="14.44140625" style="2" bestFit="1" customWidth="1"/>
    <col min="3331" max="3331" width="13.33203125" style="2" customWidth="1"/>
    <col min="3332" max="3332" width="12.109375" style="2" bestFit="1" customWidth="1"/>
    <col min="3333" max="3335" width="9.109375" style="2"/>
    <col min="3336" max="3336" width="15.109375" style="2" customWidth="1"/>
    <col min="3337" max="3337" width="13.6640625" style="2" bestFit="1" customWidth="1"/>
    <col min="3338" max="3338" width="9.109375" style="2"/>
    <col min="3339" max="3339" width="10.33203125" style="2" bestFit="1" customWidth="1"/>
    <col min="3340" max="3585" width="9.109375" style="2"/>
    <col min="3586" max="3586" width="14.44140625" style="2" bestFit="1" customWidth="1"/>
    <col min="3587" max="3587" width="13.33203125" style="2" customWidth="1"/>
    <col min="3588" max="3588" width="12.109375" style="2" bestFit="1" customWidth="1"/>
    <col min="3589" max="3591" width="9.109375" style="2"/>
    <col min="3592" max="3592" width="15.109375" style="2" customWidth="1"/>
    <col min="3593" max="3593" width="13.6640625" style="2" bestFit="1" customWidth="1"/>
    <col min="3594" max="3594" width="9.109375" style="2"/>
    <col min="3595" max="3595" width="10.33203125" style="2" bestFit="1" customWidth="1"/>
    <col min="3596" max="3841" width="9.109375" style="2"/>
    <col min="3842" max="3842" width="14.44140625" style="2" bestFit="1" customWidth="1"/>
    <col min="3843" max="3843" width="13.33203125" style="2" customWidth="1"/>
    <col min="3844" max="3844" width="12.109375" style="2" bestFit="1" customWidth="1"/>
    <col min="3845" max="3847" width="9.109375" style="2"/>
    <col min="3848" max="3848" width="15.109375" style="2" customWidth="1"/>
    <col min="3849" max="3849" width="13.6640625" style="2" bestFit="1" customWidth="1"/>
    <col min="3850" max="3850" width="9.109375" style="2"/>
    <col min="3851" max="3851" width="10.33203125" style="2" bestFit="1" customWidth="1"/>
    <col min="3852" max="4097" width="9.109375" style="2"/>
    <col min="4098" max="4098" width="14.44140625" style="2" bestFit="1" customWidth="1"/>
    <col min="4099" max="4099" width="13.33203125" style="2" customWidth="1"/>
    <col min="4100" max="4100" width="12.109375" style="2" bestFit="1" customWidth="1"/>
    <col min="4101" max="4103" width="9.109375" style="2"/>
    <col min="4104" max="4104" width="15.109375" style="2" customWidth="1"/>
    <col min="4105" max="4105" width="13.6640625" style="2" bestFit="1" customWidth="1"/>
    <col min="4106" max="4106" width="9.109375" style="2"/>
    <col min="4107" max="4107" width="10.33203125" style="2" bestFit="1" customWidth="1"/>
    <col min="4108" max="4353" width="9.109375" style="2"/>
    <col min="4354" max="4354" width="14.44140625" style="2" bestFit="1" customWidth="1"/>
    <col min="4355" max="4355" width="13.33203125" style="2" customWidth="1"/>
    <col min="4356" max="4356" width="12.109375" style="2" bestFit="1" customWidth="1"/>
    <col min="4357" max="4359" width="9.109375" style="2"/>
    <col min="4360" max="4360" width="15.109375" style="2" customWidth="1"/>
    <col min="4361" max="4361" width="13.6640625" style="2" bestFit="1" customWidth="1"/>
    <col min="4362" max="4362" width="9.109375" style="2"/>
    <col min="4363" max="4363" width="10.33203125" style="2" bestFit="1" customWidth="1"/>
    <col min="4364" max="4609" width="9.109375" style="2"/>
    <col min="4610" max="4610" width="14.44140625" style="2" bestFit="1" customWidth="1"/>
    <col min="4611" max="4611" width="13.33203125" style="2" customWidth="1"/>
    <col min="4612" max="4612" width="12.109375" style="2" bestFit="1" customWidth="1"/>
    <col min="4613" max="4615" width="9.109375" style="2"/>
    <col min="4616" max="4616" width="15.109375" style="2" customWidth="1"/>
    <col min="4617" max="4617" width="13.6640625" style="2" bestFit="1" customWidth="1"/>
    <col min="4618" max="4618" width="9.109375" style="2"/>
    <col min="4619" max="4619" width="10.33203125" style="2" bestFit="1" customWidth="1"/>
    <col min="4620" max="4865" width="9.109375" style="2"/>
    <col min="4866" max="4866" width="14.44140625" style="2" bestFit="1" customWidth="1"/>
    <col min="4867" max="4867" width="13.33203125" style="2" customWidth="1"/>
    <col min="4868" max="4868" width="12.109375" style="2" bestFit="1" customWidth="1"/>
    <col min="4869" max="4871" width="9.109375" style="2"/>
    <col min="4872" max="4872" width="15.109375" style="2" customWidth="1"/>
    <col min="4873" max="4873" width="13.6640625" style="2" bestFit="1" customWidth="1"/>
    <col min="4874" max="4874" width="9.109375" style="2"/>
    <col min="4875" max="4875" width="10.33203125" style="2" bestFit="1" customWidth="1"/>
    <col min="4876" max="5121" width="9.109375" style="2"/>
    <col min="5122" max="5122" width="14.44140625" style="2" bestFit="1" customWidth="1"/>
    <col min="5123" max="5123" width="13.33203125" style="2" customWidth="1"/>
    <col min="5124" max="5124" width="12.109375" style="2" bestFit="1" customWidth="1"/>
    <col min="5125" max="5127" width="9.109375" style="2"/>
    <col min="5128" max="5128" width="15.109375" style="2" customWidth="1"/>
    <col min="5129" max="5129" width="13.6640625" style="2" bestFit="1" customWidth="1"/>
    <col min="5130" max="5130" width="9.109375" style="2"/>
    <col min="5131" max="5131" width="10.33203125" style="2" bestFit="1" customWidth="1"/>
    <col min="5132" max="5377" width="9.109375" style="2"/>
    <col min="5378" max="5378" width="14.44140625" style="2" bestFit="1" customWidth="1"/>
    <col min="5379" max="5379" width="13.33203125" style="2" customWidth="1"/>
    <col min="5380" max="5380" width="12.109375" style="2" bestFit="1" customWidth="1"/>
    <col min="5381" max="5383" width="9.109375" style="2"/>
    <col min="5384" max="5384" width="15.109375" style="2" customWidth="1"/>
    <col min="5385" max="5385" width="13.6640625" style="2" bestFit="1" customWidth="1"/>
    <col min="5386" max="5386" width="9.109375" style="2"/>
    <col min="5387" max="5387" width="10.33203125" style="2" bestFit="1" customWidth="1"/>
    <col min="5388" max="5633" width="9.109375" style="2"/>
    <col min="5634" max="5634" width="14.44140625" style="2" bestFit="1" customWidth="1"/>
    <col min="5635" max="5635" width="13.33203125" style="2" customWidth="1"/>
    <col min="5636" max="5636" width="12.109375" style="2" bestFit="1" customWidth="1"/>
    <col min="5637" max="5639" width="9.109375" style="2"/>
    <col min="5640" max="5640" width="15.109375" style="2" customWidth="1"/>
    <col min="5641" max="5641" width="13.6640625" style="2" bestFit="1" customWidth="1"/>
    <col min="5642" max="5642" width="9.109375" style="2"/>
    <col min="5643" max="5643" width="10.33203125" style="2" bestFit="1" customWidth="1"/>
    <col min="5644" max="5889" width="9.109375" style="2"/>
    <col min="5890" max="5890" width="14.44140625" style="2" bestFit="1" customWidth="1"/>
    <col min="5891" max="5891" width="13.33203125" style="2" customWidth="1"/>
    <col min="5892" max="5892" width="12.109375" style="2" bestFit="1" customWidth="1"/>
    <col min="5893" max="5895" width="9.109375" style="2"/>
    <col min="5896" max="5896" width="15.109375" style="2" customWidth="1"/>
    <col min="5897" max="5897" width="13.6640625" style="2" bestFit="1" customWidth="1"/>
    <col min="5898" max="5898" width="9.109375" style="2"/>
    <col min="5899" max="5899" width="10.33203125" style="2" bestFit="1" customWidth="1"/>
    <col min="5900" max="6145" width="9.109375" style="2"/>
    <col min="6146" max="6146" width="14.44140625" style="2" bestFit="1" customWidth="1"/>
    <col min="6147" max="6147" width="13.33203125" style="2" customWidth="1"/>
    <col min="6148" max="6148" width="12.109375" style="2" bestFit="1" customWidth="1"/>
    <col min="6149" max="6151" width="9.109375" style="2"/>
    <col min="6152" max="6152" width="15.109375" style="2" customWidth="1"/>
    <col min="6153" max="6153" width="13.6640625" style="2" bestFit="1" customWidth="1"/>
    <col min="6154" max="6154" width="9.109375" style="2"/>
    <col min="6155" max="6155" width="10.33203125" style="2" bestFit="1" customWidth="1"/>
    <col min="6156" max="6401" width="9.109375" style="2"/>
    <col min="6402" max="6402" width="14.44140625" style="2" bestFit="1" customWidth="1"/>
    <col min="6403" max="6403" width="13.33203125" style="2" customWidth="1"/>
    <col min="6404" max="6404" width="12.109375" style="2" bestFit="1" customWidth="1"/>
    <col min="6405" max="6407" width="9.109375" style="2"/>
    <col min="6408" max="6408" width="15.109375" style="2" customWidth="1"/>
    <col min="6409" max="6409" width="13.6640625" style="2" bestFit="1" customWidth="1"/>
    <col min="6410" max="6410" width="9.109375" style="2"/>
    <col min="6411" max="6411" width="10.33203125" style="2" bestFit="1" customWidth="1"/>
    <col min="6412" max="6657" width="9.109375" style="2"/>
    <col min="6658" max="6658" width="14.44140625" style="2" bestFit="1" customWidth="1"/>
    <col min="6659" max="6659" width="13.33203125" style="2" customWidth="1"/>
    <col min="6660" max="6660" width="12.109375" style="2" bestFit="1" customWidth="1"/>
    <col min="6661" max="6663" width="9.109375" style="2"/>
    <col min="6664" max="6664" width="15.109375" style="2" customWidth="1"/>
    <col min="6665" max="6665" width="13.6640625" style="2" bestFit="1" customWidth="1"/>
    <col min="6666" max="6666" width="9.109375" style="2"/>
    <col min="6667" max="6667" width="10.33203125" style="2" bestFit="1" customWidth="1"/>
    <col min="6668" max="6913" width="9.109375" style="2"/>
    <col min="6914" max="6914" width="14.44140625" style="2" bestFit="1" customWidth="1"/>
    <col min="6915" max="6915" width="13.33203125" style="2" customWidth="1"/>
    <col min="6916" max="6916" width="12.109375" style="2" bestFit="1" customWidth="1"/>
    <col min="6917" max="6919" width="9.109375" style="2"/>
    <col min="6920" max="6920" width="15.109375" style="2" customWidth="1"/>
    <col min="6921" max="6921" width="13.6640625" style="2" bestFit="1" customWidth="1"/>
    <col min="6922" max="6922" width="9.109375" style="2"/>
    <col min="6923" max="6923" width="10.33203125" style="2" bestFit="1" customWidth="1"/>
    <col min="6924" max="7169" width="9.109375" style="2"/>
    <col min="7170" max="7170" width="14.44140625" style="2" bestFit="1" customWidth="1"/>
    <col min="7171" max="7171" width="13.33203125" style="2" customWidth="1"/>
    <col min="7172" max="7172" width="12.109375" style="2" bestFit="1" customWidth="1"/>
    <col min="7173" max="7175" width="9.109375" style="2"/>
    <col min="7176" max="7176" width="15.109375" style="2" customWidth="1"/>
    <col min="7177" max="7177" width="13.6640625" style="2" bestFit="1" customWidth="1"/>
    <col min="7178" max="7178" width="9.109375" style="2"/>
    <col min="7179" max="7179" width="10.33203125" style="2" bestFit="1" customWidth="1"/>
    <col min="7180" max="7425" width="9.109375" style="2"/>
    <col min="7426" max="7426" width="14.44140625" style="2" bestFit="1" customWidth="1"/>
    <col min="7427" max="7427" width="13.33203125" style="2" customWidth="1"/>
    <col min="7428" max="7428" width="12.109375" style="2" bestFit="1" customWidth="1"/>
    <col min="7429" max="7431" width="9.109375" style="2"/>
    <col min="7432" max="7432" width="15.109375" style="2" customWidth="1"/>
    <col min="7433" max="7433" width="13.6640625" style="2" bestFit="1" customWidth="1"/>
    <col min="7434" max="7434" width="9.109375" style="2"/>
    <col min="7435" max="7435" width="10.33203125" style="2" bestFit="1" customWidth="1"/>
    <col min="7436" max="7681" width="9.109375" style="2"/>
    <col min="7682" max="7682" width="14.44140625" style="2" bestFit="1" customWidth="1"/>
    <col min="7683" max="7683" width="13.33203125" style="2" customWidth="1"/>
    <col min="7684" max="7684" width="12.109375" style="2" bestFit="1" customWidth="1"/>
    <col min="7685" max="7687" width="9.109375" style="2"/>
    <col min="7688" max="7688" width="15.109375" style="2" customWidth="1"/>
    <col min="7689" max="7689" width="13.6640625" style="2" bestFit="1" customWidth="1"/>
    <col min="7690" max="7690" width="9.109375" style="2"/>
    <col min="7691" max="7691" width="10.33203125" style="2" bestFit="1" customWidth="1"/>
    <col min="7692" max="7937" width="9.109375" style="2"/>
    <col min="7938" max="7938" width="14.44140625" style="2" bestFit="1" customWidth="1"/>
    <col min="7939" max="7939" width="13.33203125" style="2" customWidth="1"/>
    <col min="7940" max="7940" width="12.109375" style="2" bestFit="1" customWidth="1"/>
    <col min="7941" max="7943" width="9.109375" style="2"/>
    <col min="7944" max="7944" width="15.109375" style="2" customWidth="1"/>
    <col min="7945" max="7945" width="13.6640625" style="2" bestFit="1" customWidth="1"/>
    <col min="7946" max="7946" width="9.109375" style="2"/>
    <col min="7947" max="7947" width="10.33203125" style="2" bestFit="1" customWidth="1"/>
    <col min="7948" max="8193" width="9.109375" style="2"/>
    <col min="8194" max="8194" width="14.44140625" style="2" bestFit="1" customWidth="1"/>
    <col min="8195" max="8195" width="13.33203125" style="2" customWidth="1"/>
    <col min="8196" max="8196" width="12.109375" style="2" bestFit="1" customWidth="1"/>
    <col min="8197" max="8199" width="9.109375" style="2"/>
    <col min="8200" max="8200" width="15.109375" style="2" customWidth="1"/>
    <col min="8201" max="8201" width="13.6640625" style="2" bestFit="1" customWidth="1"/>
    <col min="8202" max="8202" width="9.109375" style="2"/>
    <col min="8203" max="8203" width="10.33203125" style="2" bestFit="1" customWidth="1"/>
    <col min="8204" max="8449" width="9.109375" style="2"/>
    <col min="8450" max="8450" width="14.44140625" style="2" bestFit="1" customWidth="1"/>
    <col min="8451" max="8451" width="13.33203125" style="2" customWidth="1"/>
    <col min="8452" max="8452" width="12.109375" style="2" bestFit="1" customWidth="1"/>
    <col min="8453" max="8455" width="9.109375" style="2"/>
    <col min="8456" max="8456" width="15.109375" style="2" customWidth="1"/>
    <col min="8457" max="8457" width="13.6640625" style="2" bestFit="1" customWidth="1"/>
    <col min="8458" max="8458" width="9.109375" style="2"/>
    <col min="8459" max="8459" width="10.33203125" style="2" bestFit="1" customWidth="1"/>
    <col min="8460" max="8705" width="9.109375" style="2"/>
    <col min="8706" max="8706" width="14.44140625" style="2" bestFit="1" customWidth="1"/>
    <col min="8707" max="8707" width="13.33203125" style="2" customWidth="1"/>
    <col min="8708" max="8708" width="12.109375" style="2" bestFit="1" customWidth="1"/>
    <col min="8709" max="8711" width="9.109375" style="2"/>
    <col min="8712" max="8712" width="15.109375" style="2" customWidth="1"/>
    <col min="8713" max="8713" width="13.6640625" style="2" bestFit="1" customWidth="1"/>
    <col min="8714" max="8714" width="9.109375" style="2"/>
    <col min="8715" max="8715" width="10.33203125" style="2" bestFit="1" customWidth="1"/>
    <col min="8716" max="8961" width="9.109375" style="2"/>
    <col min="8962" max="8962" width="14.44140625" style="2" bestFit="1" customWidth="1"/>
    <col min="8963" max="8963" width="13.33203125" style="2" customWidth="1"/>
    <col min="8964" max="8964" width="12.109375" style="2" bestFit="1" customWidth="1"/>
    <col min="8965" max="8967" width="9.109375" style="2"/>
    <col min="8968" max="8968" width="15.109375" style="2" customWidth="1"/>
    <col min="8969" max="8969" width="13.6640625" style="2" bestFit="1" customWidth="1"/>
    <col min="8970" max="8970" width="9.109375" style="2"/>
    <col min="8971" max="8971" width="10.33203125" style="2" bestFit="1" customWidth="1"/>
    <col min="8972" max="9217" width="9.109375" style="2"/>
    <col min="9218" max="9218" width="14.44140625" style="2" bestFit="1" customWidth="1"/>
    <col min="9219" max="9219" width="13.33203125" style="2" customWidth="1"/>
    <col min="9220" max="9220" width="12.109375" style="2" bestFit="1" customWidth="1"/>
    <col min="9221" max="9223" width="9.109375" style="2"/>
    <col min="9224" max="9224" width="15.109375" style="2" customWidth="1"/>
    <col min="9225" max="9225" width="13.6640625" style="2" bestFit="1" customWidth="1"/>
    <col min="9226" max="9226" width="9.109375" style="2"/>
    <col min="9227" max="9227" width="10.33203125" style="2" bestFit="1" customWidth="1"/>
    <col min="9228" max="9473" width="9.109375" style="2"/>
    <col min="9474" max="9474" width="14.44140625" style="2" bestFit="1" customWidth="1"/>
    <col min="9475" max="9475" width="13.33203125" style="2" customWidth="1"/>
    <col min="9476" max="9476" width="12.109375" style="2" bestFit="1" customWidth="1"/>
    <col min="9477" max="9479" width="9.109375" style="2"/>
    <col min="9480" max="9480" width="15.109375" style="2" customWidth="1"/>
    <col min="9481" max="9481" width="13.6640625" style="2" bestFit="1" customWidth="1"/>
    <col min="9482" max="9482" width="9.109375" style="2"/>
    <col min="9483" max="9483" width="10.33203125" style="2" bestFit="1" customWidth="1"/>
    <col min="9484" max="9729" width="9.109375" style="2"/>
    <col min="9730" max="9730" width="14.44140625" style="2" bestFit="1" customWidth="1"/>
    <col min="9731" max="9731" width="13.33203125" style="2" customWidth="1"/>
    <col min="9732" max="9732" width="12.109375" style="2" bestFit="1" customWidth="1"/>
    <col min="9733" max="9735" width="9.109375" style="2"/>
    <col min="9736" max="9736" width="15.109375" style="2" customWidth="1"/>
    <col min="9737" max="9737" width="13.6640625" style="2" bestFit="1" customWidth="1"/>
    <col min="9738" max="9738" width="9.109375" style="2"/>
    <col min="9739" max="9739" width="10.33203125" style="2" bestFit="1" customWidth="1"/>
    <col min="9740" max="9985" width="9.109375" style="2"/>
    <col min="9986" max="9986" width="14.44140625" style="2" bestFit="1" customWidth="1"/>
    <col min="9987" max="9987" width="13.33203125" style="2" customWidth="1"/>
    <col min="9988" max="9988" width="12.109375" style="2" bestFit="1" customWidth="1"/>
    <col min="9989" max="9991" width="9.109375" style="2"/>
    <col min="9992" max="9992" width="15.109375" style="2" customWidth="1"/>
    <col min="9993" max="9993" width="13.6640625" style="2" bestFit="1" customWidth="1"/>
    <col min="9994" max="9994" width="9.109375" style="2"/>
    <col min="9995" max="9995" width="10.33203125" style="2" bestFit="1" customWidth="1"/>
    <col min="9996" max="10241" width="9.109375" style="2"/>
    <col min="10242" max="10242" width="14.44140625" style="2" bestFit="1" customWidth="1"/>
    <col min="10243" max="10243" width="13.33203125" style="2" customWidth="1"/>
    <col min="10244" max="10244" width="12.109375" style="2" bestFit="1" customWidth="1"/>
    <col min="10245" max="10247" width="9.109375" style="2"/>
    <col min="10248" max="10248" width="15.109375" style="2" customWidth="1"/>
    <col min="10249" max="10249" width="13.6640625" style="2" bestFit="1" customWidth="1"/>
    <col min="10250" max="10250" width="9.109375" style="2"/>
    <col min="10251" max="10251" width="10.33203125" style="2" bestFit="1" customWidth="1"/>
    <col min="10252" max="10497" width="9.109375" style="2"/>
    <col min="10498" max="10498" width="14.44140625" style="2" bestFit="1" customWidth="1"/>
    <col min="10499" max="10499" width="13.33203125" style="2" customWidth="1"/>
    <col min="10500" max="10500" width="12.109375" style="2" bestFit="1" customWidth="1"/>
    <col min="10501" max="10503" width="9.109375" style="2"/>
    <col min="10504" max="10504" width="15.109375" style="2" customWidth="1"/>
    <col min="10505" max="10505" width="13.6640625" style="2" bestFit="1" customWidth="1"/>
    <col min="10506" max="10506" width="9.109375" style="2"/>
    <col min="10507" max="10507" width="10.33203125" style="2" bestFit="1" customWidth="1"/>
    <col min="10508" max="10753" width="9.109375" style="2"/>
    <col min="10754" max="10754" width="14.44140625" style="2" bestFit="1" customWidth="1"/>
    <col min="10755" max="10755" width="13.33203125" style="2" customWidth="1"/>
    <col min="10756" max="10756" width="12.109375" style="2" bestFit="1" customWidth="1"/>
    <col min="10757" max="10759" width="9.109375" style="2"/>
    <col min="10760" max="10760" width="15.109375" style="2" customWidth="1"/>
    <col min="10761" max="10761" width="13.6640625" style="2" bestFit="1" customWidth="1"/>
    <col min="10762" max="10762" width="9.109375" style="2"/>
    <col min="10763" max="10763" width="10.33203125" style="2" bestFit="1" customWidth="1"/>
    <col min="10764" max="11009" width="9.109375" style="2"/>
    <col min="11010" max="11010" width="14.44140625" style="2" bestFit="1" customWidth="1"/>
    <col min="11011" max="11011" width="13.33203125" style="2" customWidth="1"/>
    <col min="11012" max="11012" width="12.109375" style="2" bestFit="1" customWidth="1"/>
    <col min="11013" max="11015" width="9.109375" style="2"/>
    <col min="11016" max="11016" width="15.109375" style="2" customWidth="1"/>
    <col min="11017" max="11017" width="13.6640625" style="2" bestFit="1" customWidth="1"/>
    <col min="11018" max="11018" width="9.109375" style="2"/>
    <col min="11019" max="11019" width="10.33203125" style="2" bestFit="1" customWidth="1"/>
    <col min="11020" max="11265" width="9.109375" style="2"/>
    <col min="11266" max="11266" width="14.44140625" style="2" bestFit="1" customWidth="1"/>
    <col min="11267" max="11267" width="13.33203125" style="2" customWidth="1"/>
    <col min="11268" max="11268" width="12.109375" style="2" bestFit="1" customWidth="1"/>
    <col min="11269" max="11271" width="9.109375" style="2"/>
    <col min="11272" max="11272" width="15.109375" style="2" customWidth="1"/>
    <col min="11273" max="11273" width="13.6640625" style="2" bestFit="1" customWidth="1"/>
    <col min="11274" max="11274" width="9.109375" style="2"/>
    <col min="11275" max="11275" width="10.33203125" style="2" bestFit="1" customWidth="1"/>
    <col min="11276" max="11521" width="9.109375" style="2"/>
    <col min="11522" max="11522" width="14.44140625" style="2" bestFit="1" customWidth="1"/>
    <col min="11523" max="11523" width="13.33203125" style="2" customWidth="1"/>
    <col min="11524" max="11524" width="12.109375" style="2" bestFit="1" customWidth="1"/>
    <col min="11525" max="11527" width="9.109375" style="2"/>
    <col min="11528" max="11528" width="15.109375" style="2" customWidth="1"/>
    <col min="11529" max="11529" width="13.6640625" style="2" bestFit="1" customWidth="1"/>
    <col min="11530" max="11530" width="9.109375" style="2"/>
    <col min="11531" max="11531" width="10.33203125" style="2" bestFit="1" customWidth="1"/>
    <col min="11532" max="11777" width="9.109375" style="2"/>
    <col min="11778" max="11778" width="14.44140625" style="2" bestFit="1" customWidth="1"/>
    <col min="11779" max="11779" width="13.33203125" style="2" customWidth="1"/>
    <col min="11780" max="11780" width="12.109375" style="2" bestFit="1" customWidth="1"/>
    <col min="11781" max="11783" width="9.109375" style="2"/>
    <col min="11784" max="11784" width="15.109375" style="2" customWidth="1"/>
    <col min="11785" max="11785" width="13.6640625" style="2" bestFit="1" customWidth="1"/>
    <col min="11786" max="11786" width="9.109375" style="2"/>
    <col min="11787" max="11787" width="10.33203125" style="2" bestFit="1" customWidth="1"/>
    <col min="11788" max="12033" width="9.109375" style="2"/>
    <col min="12034" max="12034" width="14.44140625" style="2" bestFit="1" customWidth="1"/>
    <col min="12035" max="12035" width="13.33203125" style="2" customWidth="1"/>
    <col min="12036" max="12036" width="12.109375" style="2" bestFit="1" customWidth="1"/>
    <col min="12037" max="12039" width="9.109375" style="2"/>
    <col min="12040" max="12040" width="15.109375" style="2" customWidth="1"/>
    <col min="12041" max="12041" width="13.6640625" style="2" bestFit="1" customWidth="1"/>
    <col min="12042" max="12042" width="9.109375" style="2"/>
    <col min="12043" max="12043" width="10.33203125" style="2" bestFit="1" customWidth="1"/>
    <col min="12044" max="12289" width="9.109375" style="2"/>
    <col min="12290" max="12290" width="14.44140625" style="2" bestFit="1" customWidth="1"/>
    <col min="12291" max="12291" width="13.33203125" style="2" customWidth="1"/>
    <col min="12292" max="12292" width="12.109375" style="2" bestFit="1" customWidth="1"/>
    <col min="12293" max="12295" width="9.109375" style="2"/>
    <col min="12296" max="12296" width="15.109375" style="2" customWidth="1"/>
    <col min="12297" max="12297" width="13.6640625" style="2" bestFit="1" customWidth="1"/>
    <col min="12298" max="12298" width="9.109375" style="2"/>
    <col min="12299" max="12299" width="10.33203125" style="2" bestFit="1" customWidth="1"/>
    <col min="12300" max="12545" width="9.109375" style="2"/>
    <col min="12546" max="12546" width="14.44140625" style="2" bestFit="1" customWidth="1"/>
    <col min="12547" max="12547" width="13.33203125" style="2" customWidth="1"/>
    <col min="12548" max="12548" width="12.109375" style="2" bestFit="1" customWidth="1"/>
    <col min="12549" max="12551" width="9.109375" style="2"/>
    <col min="12552" max="12552" width="15.109375" style="2" customWidth="1"/>
    <col min="12553" max="12553" width="13.6640625" style="2" bestFit="1" customWidth="1"/>
    <col min="12554" max="12554" width="9.109375" style="2"/>
    <col min="12555" max="12555" width="10.33203125" style="2" bestFit="1" customWidth="1"/>
    <col min="12556" max="12801" width="9.109375" style="2"/>
    <col min="12802" max="12802" width="14.44140625" style="2" bestFit="1" customWidth="1"/>
    <col min="12803" max="12803" width="13.33203125" style="2" customWidth="1"/>
    <col min="12804" max="12804" width="12.109375" style="2" bestFit="1" customWidth="1"/>
    <col min="12805" max="12807" width="9.109375" style="2"/>
    <col min="12808" max="12808" width="15.109375" style="2" customWidth="1"/>
    <col min="12809" max="12809" width="13.6640625" style="2" bestFit="1" customWidth="1"/>
    <col min="12810" max="12810" width="9.109375" style="2"/>
    <col min="12811" max="12811" width="10.33203125" style="2" bestFit="1" customWidth="1"/>
    <col min="12812" max="13057" width="9.109375" style="2"/>
    <col min="13058" max="13058" width="14.44140625" style="2" bestFit="1" customWidth="1"/>
    <col min="13059" max="13059" width="13.33203125" style="2" customWidth="1"/>
    <col min="13060" max="13060" width="12.109375" style="2" bestFit="1" customWidth="1"/>
    <col min="13061" max="13063" width="9.109375" style="2"/>
    <col min="13064" max="13064" width="15.109375" style="2" customWidth="1"/>
    <col min="13065" max="13065" width="13.6640625" style="2" bestFit="1" customWidth="1"/>
    <col min="13066" max="13066" width="9.109375" style="2"/>
    <col min="13067" max="13067" width="10.33203125" style="2" bestFit="1" customWidth="1"/>
    <col min="13068" max="13313" width="9.109375" style="2"/>
    <col min="13314" max="13314" width="14.44140625" style="2" bestFit="1" customWidth="1"/>
    <col min="13315" max="13315" width="13.33203125" style="2" customWidth="1"/>
    <col min="13316" max="13316" width="12.109375" style="2" bestFit="1" customWidth="1"/>
    <col min="13317" max="13319" width="9.109375" style="2"/>
    <col min="13320" max="13320" width="15.109375" style="2" customWidth="1"/>
    <col min="13321" max="13321" width="13.6640625" style="2" bestFit="1" customWidth="1"/>
    <col min="13322" max="13322" width="9.109375" style="2"/>
    <col min="13323" max="13323" width="10.33203125" style="2" bestFit="1" customWidth="1"/>
    <col min="13324" max="13569" width="9.109375" style="2"/>
    <col min="13570" max="13570" width="14.44140625" style="2" bestFit="1" customWidth="1"/>
    <col min="13571" max="13571" width="13.33203125" style="2" customWidth="1"/>
    <col min="13572" max="13572" width="12.109375" style="2" bestFit="1" customWidth="1"/>
    <col min="13573" max="13575" width="9.109375" style="2"/>
    <col min="13576" max="13576" width="15.109375" style="2" customWidth="1"/>
    <col min="13577" max="13577" width="13.6640625" style="2" bestFit="1" customWidth="1"/>
    <col min="13578" max="13578" width="9.109375" style="2"/>
    <col min="13579" max="13579" width="10.33203125" style="2" bestFit="1" customWidth="1"/>
    <col min="13580" max="13825" width="9.109375" style="2"/>
    <col min="13826" max="13826" width="14.44140625" style="2" bestFit="1" customWidth="1"/>
    <col min="13827" max="13827" width="13.33203125" style="2" customWidth="1"/>
    <col min="13828" max="13828" width="12.109375" style="2" bestFit="1" customWidth="1"/>
    <col min="13829" max="13831" width="9.109375" style="2"/>
    <col min="13832" max="13832" width="15.109375" style="2" customWidth="1"/>
    <col min="13833" max="13833" width="13.6640625" style="2" bestFit="1" customWidth="1"/>
    <col min="13834" max="13834" width="9.109375" style="2"/>
    <col min="13835" max="13835" width="10.33203125" style="2" bestFit="1" customWidth="1"/>
    <col min="13836" max="14081" width="9.109375" style="2"/>
    <col min="14082" max="14082" width="14.44140625" style="2" bestFit="1" customWidth="1"/>
    <col min="14083" max="14083" width="13.33203125" style="2" customWidth="1"/>
    <col min="14084" max="14084" width="12.109375" style="2" bestFit="1" customWidth="1"/>
    <col min="14085" max="14087" width="9.109375" style="2"/>
    <col min="14088" max="14088" width="15.109375" style="2" customWidth="1"/>
    <col min="14089" max="14089" width="13.6640625" style="2" bestFit="1" customWidth="1"/>
    <col min="14090" max="14090" width="9.109375" style="2"/>
    <col min="14091" max="14091" width="10.33203125" style="2" bestFit="1" customWidth="1"/>
    <col min="14092" max="14337" width="9.109375" style="2"/>
    <col min="14338" max="14338" width="14.44140625" style="2" bestFit="1" customWidth="1"/>
    <col min="14339" max="14339" width="13.33203125" style="2" customWidth="1"/>
    <col min="14340" max="14340" width="12.109375" style="2" bestFit="1" customWidth="1"/>
    <col min="14341" max="14343" width="9.109375" style="2"/>
    <col min="14344" max="14344" width="15.109375" style="2" customWidth="1"/>
    <col min="14345" max="14345" width="13.6640625" style="2" bestFit="1" customWidth="1"/>
    <col min="14346" max="14346" width="9.109375" style="2"/>
    <col min="14347" max="14347" width="10.33203125" style="2" bestFit="1" customWidth="1"/>
    <col min="14348" max="14593" width="9.109375" style="2"/>
    <col min="14594" max="14594" width="14.44140625" style="2" bestFit="1" customWidth="1"/>
    <col min="14595" max="14595" width="13.33203125" style="2" customWidth="1"/>
    <col min="14596" max="14596" width="12.109375" style="2" bestFit="1" customWidth="1"/>
    <col min="14597" max="14599" width="9.109375" style="2"/>
    <col min="14600" max="14600" width="15.109375" style="2" customWidth="1"/>
    <col min="14601" max="14601" width="13.6640625" style="2" bestFit="1" customWidth="1"/>
    <col min="14602" max="14602" width="9.109375" style="2"/>
    <col min="14603" max="14603" width="10.33203125" style="2" bestFit="1" customWidth="1"/>
    <col min="14604" max="14849" width="9.109375" style="2"/>
    <col min="14850" max="14850" width="14.44140625" style="2" bestFit="1" customWidth="1"/>
    <col min="14851" max="14851" width="13.33203125" style="2" customWidth="1"/>
    <col min="14852" max="14852" width="12.109375" style="2" bestFit="1" customWidth="1"/>
    <col min="14853" max="14855" width="9.109375" style="2"/>
    <col min="14856" max="14856" width="15.109375" style="2" customWidth="1"/>
    <col min="14857" max="14857" width="13.6640625" style="2" bestFit="1" customWidth="1"/>
    <col min="14858" max="14858" width="9.109375" style="2"/>
    <col min="14859" max="14859" width="10.33203125" style="2" bestFit="1" customWidth="1"/>
    <col min="14860" max="15105" width="9.109375" style="2"/>
    <col min="15106" max="15106" width="14.44140625" style="2" bestFit="1" customWidth="1"/>
    <col min="15107" max="15107" width="13.33203125" style="2" customWidth="1"/>
    <col min="15108" max="15108" width="12.109375" style="2" bestFit="1" customWidth="1"/>
    <col min="15109" max="15111" width="9.109375" style="2"/>
    <col min="15112" max="15112" width="15.109375" style="2" customWidth="1"/>
    <col min="15113" max="15113" width="13.6640625" style="2" bestFit="1" customWidth="1"/>
    <col min="15114" max="15114" width="9.109375" style="2"/>
    <col min="15115" max="15115" width="10.33203125" style="2" bestFit="1" customWidth="1"/>
    <col min="15116" max="15361" width="9.109375" style="2"/>
    <col min="15362" max="15362" width="14.44140625" style="2" bestFit="1" customWidth="1"/>
    <col min="15363" max="15363" width="13.33203125" style="2" customWidth="1"/>
    <col min="15364" max="15364" width="12.109375" style="2" bestFit="1" customWidth="1"/>
    <col min="15365" max="15367" width="9.109375" style="2"/>
    <col min="15368" max="15368" width="15.109375" style="2" customWidth="1"/>
    <col min="15369" max="15369" width="13.6640625" style="2" bestFit="1" customWidth="1"/>
    <col min="15370" max="15370" width="9.109375" style="2"/>
    <col min="15371" max="15371" width="10.33203125" style="2" bestFit="1" customWidth="1"/>
    <col min="15372" max="15617" width="9.109375" style="2"/>
    <col min="15618" max="15618" width="14.44140625" style="2" bestFit="1" customWidth="1"/>
    <col min="15619" max="15619" width="13.33203125" style="2" customWidth="1"/>
    <col min="15620" max="15620" width="12.109375" style="2" bestFit="1" customWidth="1"/>
    <col min="15621" max="15623" width="9.109375" style="2"/>
    <col min="15624" max="15624" width="15.109375" style="2" customWidth="1"/>
    <col min="15625" max="15625" width="13.6640625" style="2" bestFit="1" customWidth="1"/>
    <col min="15626" max="15626" width="9.109375" style="2"/>
    <col min="15627" max="15627" width="10.33203125" style="2" bestFit="1" customWidth="1"/>
    <col min="15628" max="15873" width="9.109375" style="2"/>
    <col min="15874" max="15874" width="14.44140625" style="2" bestFit="1" customWidth="1"/>
    <col min="15875" max="15875" width="13.33203125" style="2" customWidth="1"/>
    <col min="15876" max="15876" width="12.109375" style="2" bestFit="1" customWidth="1"/>
    <col min="15877" max="15879" width="9.109375" style="2"/>
    <col min="15880" max="15880" width="15.109375" style="2" customWidth="1"/>
    <col min="15881" max="15881" width="13.6640625" style="2" bestFit="1" customWidth="1"/>
    <col min="15882" max="15882" width="9.109375" style="2"/>
    <col min="15883" max="15883" width="10.33203125" style="2" bestFit="1" customWidth="1"/>
    <col min="15884" max="16129" width="9.109375" style="2"/>
    <col min="16130" max="16130" width="14.44140625" style="2" bestFit="1" customWidth="1"/>
    <col min="16131" max="16131" width="13.33203125" style="2" customWidth="1"/>
    <col min="16132" max="16132" width="12.109375" style="2" bestFit="1" customWidth="1"/>
    <col min="16133" max="16135" width="9.109375" style="2"/>
    <col min="16136" max="16136" width="15.109375" style="2" customWidth="1"/>
    <col min="16137" max="16137" width="13.6640625" style="2" bestFit="1" customWidth="1"/>
    <col min="16138" max="16138" width="9.109375" style="2"/>
    <col min="16139" max="16139" width="10.33203125" style="2" bestFit="1" customWidth="1"/>
    <col min="16140" max="16384" width="9.109375" style="2"/>
  </cols>
  <sheetData>
    <row r="1" spans="1:17" ht="15.6" x14ac:dyDescent="0.3">
      <c r="A1" s="1" t="s">
        <v>0</v>
      </c>
      <c r="B1" s="1"/>
      <c r="C1" s="1" t="s">
        <v>1</v>
      </c>
      <c r="E1" s="2" t="s">
        <v>68</v>
      </c>
    </row>
    <row r="2" spans="1:17" ht="15.6" x14ac:dyDescent="0.3">
      <c r="A2" s="2" t="s">
        <v>67</v>
      </c>
      <c r="B2" s="1"/>
      <c r="C2" s="1"/>
    </row>
    <row r="3" spans="1:17" s="1" customFormat="1" ht="15.6" x14ac:dyDescent="0.3">
      <c r="H3" s="2" t="s">
        <v>2</v>
      </c>
    </row>
    <row r="4" spans="1:17" ht="18.600000000000001" x14ac:dyDescent="0.4">
      <c r="D4" s="2" t="s">
        <v>69</v>
      </c>
    </row>
    <row r="5" spans="1:17" ht="18" x14ac:dyDescent="0.4">
      <c r="B5" s="4">
        <v>1</v>
      </c>
      <c r="C5" s="5">
        <v>19</v>
      </c>
      <c r="D5" s="5">
        <v>16</v>
      </c>
      <c r="E5" s="5">
        <v>18</v>
      </c>
      <c r="F5" s="5">
        <v>17</v>
      </c>
      <c r="G5" s="5">
        <v>20</v>
      </c>
      <c r="H5" s="6" t="s">
        <v>65</v>
      </c>
      <c r="I5" s="6" t="s">
        <v>66</v>
      </c>
      <c r="J5" s="37" t="s">
        <v>3</v>
      </c>
    </row>
    <row r="6" spans="1:17" ht="15.6" x14ac:dyDescent="0.3">
      <c r="A6" s="4"/>
      <c r="C6" s="4">
        <v>18.2</v>
      </c>
      <c r="D6" s="4">
        <v>13</v>
      </c>
      <c r="E6" s="4">
        <v>9.5</v>
      </c>
      <c r="F6" s="4">
        <v>6.7</v>
      </c>
      <c r="G6" s="4">
        <v>10.1</v>
      </c>
      <c r="H6" s="7">
        <f>SUM(C6:G6)</f>
        <v>57.500000000000007</v>
      </c>
      <c r="I6" s="7">
        <f>SUM(B78:B82)-2*H6</f>
        <v>17.59999999999998</v>
      </c>
      <c r="J6" s="1">
        <f>I6*B43</f>
        <v>1.5373461181564658</v>
      </c>
    </row>
    <row r="7" spans="1:17" ht="15.6" x14ac:dyDescent="0.3">
      <c r="A7" s="4" t="s">
        <v>4</v>
      </c>
      <c r="B7" s="4">
        <v>2</v>
      </c>
      <c r="C7" s="5">
        <v>12</v>
      </c>
      <c r="D7" s="5">
        <v>13</v>
      </c>
      <c r="E7" s="5">
        <v>15</v>
      </c>
      <c r="F7" s="5">
        <v>14</v>
      </c>
      <c r="G7" s="5">
        <v>11</v>
      </c>
      <c r="H7" s="8"/>
      <c r="I7" s="8"/>
      <c r="Q7" s="9"/>
    </row>
    <row r="8" spans="1:17" ht="15.6" x14ac:dyDescent="0.3">
      <c r="A8" s="4" t="s">
        <v>4</v>
      </c>
      <c r="C8" s="4">
        <v>13.3</v>
      </c>
      <c r="D8" s="4">
        <v>11.4</v>
      </c>
      <c r="E8" s="4">
        <v>14.2</v>
      </c>
      <c r="F8" s="4">
        <v>11.9</v>
      </c>
      <c r="G8" s="4">
        <v>13.4</v>
      </c>
      <c r="H8" s="10">
        <f>SUM(C8:G8)</f>
        <v>64.2</v>
      </c>
      <c r="I8" s="10">
        <f>SUM(B73:B77)-2*H8</f>
        <v>4.1999999999999886</v>
      </c>
      <c r="J8" s="4">
        <f>I8*B$43</f>
        <v>0.36686668728733784</v>
      </c>
    </row>
    <row r="9" spans="1:17" ht="15.6" x14ac:dyDescent="0.3">
      <c r="A9" s="4" t="s">
        <v>4</v>
      </c>
      <c r="B9" s="4">
        <v>3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8"/>
      <c r="I9" s="8"/>
    </row>
    <row r="10" spans="1:17" ht="15.6" x14ac:dyDescent="0.3">
      <c r="A10" s="4" t="s">
        <v>5</v>
      </c>
      <c r="C10" s="4">
        <v>15</v>
      </c>
      <c r="D10" s="4">
        <v>12.4</v>
      </c>
      <c r="E10" s="4">
        <v>17.3</v>
      </c>
      <c r="F10" s="4">
        <v>20.5</v>
      </c>
      <c r="G10" s="4">
        <v>13</v>
      </c>
      <c r="H10" s="10">
        <f>SUM(C10:G10)</f>
        <v>78.2</v>
      </c>
      <c r="I10" s="10">
        <f>SUM(B63:B67)-2*H10</f>
        <v>5.3000000000000114</v>
      </c>
      <c r="J10" s="4">
        <f>I10*B$43</f>
        <v>0.46295081967211904</v>
      </c>
    </row>
    <row r="11" spans="1:17" ht="15.6" x14ac:dyDescent="0.3">
      <c r="A11" s="4" t="s">
        <v>4</v>
      </c>
      <c r="B11" s="4">
        <v>4</v>
      </c>
      <c r="C11" s="5">
        <v>22</v>
      </c>
      <c r="D11" s="5">
        <v>24</v>
      </c>
      <c r="E11" s="5">
        <v>21</v>
      </c>
      <c r="F11" s="5">
        <v>25</v>
      </c>
      <c r="G11" s="5">
        <v>23</v>
      </c>
      <c r="H11" s="8"/>
      <c r="I11" s="8"/>
    </row>
    <row r="12" spans="1:17" ht="15.6" x14ac:dyDescent="0.3">
      <c r="A12" s="4" t="s">
        <v>4</v>
      </c>
      <c r="C12" s="4">
        <v>7</v>
      </c>
      <c r="D12" s="4">
        <v>5.9</v>
      </c>
      <c r="E12" s="11">
        <v>14.1</v>
      </c>
      <c r="F12" s="4">
        <v>19.2</v>
      </c>
      <c r="G12" s="4">
        <v>7.8</v>
      </c>
      <c r="H12" s="10">
        <f>SUM(C12:G12)</f>
        <v>54</v>
      </c>
      <c r="I12" s="10">
        <f>SUM(B83:B87)-2*H12</f>
        <v>-0.5</v>
      </c>
      <c r="J12" s="4">
        <f>I12*B$43</f>
        <v>-4.3674605629445098E-2</v>
      </c>
    </row>
    <row r="13" spans="1:17" ht="15.6" x14ac:dyDescent="0.3">
      <c r="A13" s="4" t="s">
        <v>4</v>
      </c>
      <c r="B13" s="4">
        <v>5</v>
      </c>
      <c r="C13" s="5">
        <v>9</v>
      </c>
      <c r="D13" s="5">
        <v>7</v>
      </c>
      <c r="E13" s="5">
        <v>10</v>
      </c>
      <c r="F13" s="5">
        <v>8</v>
      </c>
      <c r="G13" s="5">
        <v>6</v>
      </c>
      <c r="H13" s="8"/>
      <c r="I13" s="8"/>
    </row>
    <row r="14" spans="1:17" ht="15.6" x14ac:dyDescent="0.3">
      <c r="A14" s="4" t="s">
        <v>5</v>
      </c>
      <c r="C14" s="4">
        <v>11.9</v>
      </c>
      <c r="D14" s="4">
        <v>15.2</v>
      </c>
      <c r="E14" s="4">
        <v>17.2</v>
      </c>
      <c r="F14" s="4">
        <v>16.3</v>
      </c>
      <c r="G14" s="4">
        <v>16</v>
      </c>
      <c r="H14" s="10">
        <f>SUM(C14:G14)</f>
        <v>76.599999999999994</v>
      </c>
      <c r="I14" s="10">
        <f>SUM(B68:B72)-2*H14</f>
        <v>3.9000000000000057</v>
      </c>
      <c r="J14" s="4">
        <f>I14*B$43</f>
        <v>0.34066192390967226</v>
      </c>
    </row>
    <row r="15" spans="1:17" ht="15.6" x14ac:dyDescent="0.3">
      <c r="A15" s="4" t="s">
        <v>5</v>
      </c>
      <c r="H15" s="8"/>
      <c r="I15" s="8"/>
    </row>
    <row r="16" spans="1:17" ht="15.6" x14ac:dyDescent="0.3">
      <c r="A16" s="4" t="s">
        <v>5</v>
      </c>
      <c r="G16" s="4" t="s">
        <v>6</v>
      </c>
      <c r="H16" s="10">
        <f>SUM(H6:H14)</f>
        <v>330.5</v>
      </c>
      <c r="I16" s="10">
        <f>SUM(I6:I14)</f>
        <v>30.499999999999986</v>
      </c>
      <c r="J16" s="4">
        <f>SUM(J6:J14)</f>
        <v>2.6641509433961499</v>
      </c>
    </row>
    <row r="17" spans="1:10" x14ac:dyDescent="0.25">
      <c r="H17" s="8"/>
      <c r="I17" s="8"/>
    </row>
    <row r="18" spans="1:10" ht="18" x14ac:dyDescent="0.4">
      <c r="A18" s="4" t="s">
        <v>7</v>
      </c>
      <c r="B18" s="4">
        <v>1</v>
      </c>
      <c r="C18" s="5">
        <v>23</v>
      </c>
      <c r="D18" s="5">
        <v>18</v>
      </c>
      <c r="E18" s="5">
        <v>3</v>
      </c>
      <c r="F18" s="5">
        <v>8</v>
      </c>
      <c r="G18" s="5">
        <v>13</v>
      </c>
      <c r="H18" s="6" t="s">
        <v>65</v>
      </c>
      <c r="I18" s="6" t="s">
        <v>65</v>
      </c>
      <c r="J18" s="37" t="s">
        <v>3</v>
      </c>
    </row>
    <row r="19" spans="1:10" ht="15.6" x14ac:dyDescent="0.3">
      <c r="A19" s="4" t="s">
        <v>4</v>
      </c>
      <c r="C19" s="4">
        <v>7.7</v>
      </c>
      <c r="D19" s="4">
        <v>15.2</v>
      </c>
      <c r="E19" s="4">
        <v>19.100000000000001</v>
      </c>
      <c r="F19" s="4">
        <v>15.5</v>
      </c>
      <c r="G19" s="4">
        <v>14.7</v>
      </c>
      <c r="H19" s="10">
        <f>SUM(C19:G19)</f>
        <v>72.2</v>
      </c>
      <c r="I19" s="10">
        <f>SUM(G12,E6,E10,F14,D8)-H19</f>
        <v>-9.8999999999999986</v>
      </c>
      <c r="J19" s="4">
        <f>I19*B$43</f>
        <v>-0.86475719146301278</v>
      </c>
    </row>
    <row r="20" spans="1:10" ht="15.6" x14ac:dyDescent="0.3">
      <c r="A20" s="4" t="s">
        <v>5</v>
      </c>
      <c r="B20" s="4">
        <v>2</v>
      </c>
      <c r="C20" s="5">
        <v>5</v>
      </c>
      <c r="D20" s="5">
        <v>20</v>
      </c>
      <c r="E20" s="5">
        <v>10</v>
      </c>
      <c r="F20" s="5">
        <v>15</v>
      </c>
      <c r="G20" s="5">
        <v>25</v>
      </c>
      <c r="H20" s="8"/>
      <c r="I20" s="8"/>
      <c r="J20" s="4"/>
    </row>
    <row r="21" spans="1:10" ht="15.6" x14ac:dyDescent="0.3">
      <c r="A21" s="4" t="s">
        <v>4</v>
      </c>
      <c r="C21" s="4">
        <v>15.8</v>
      </c>
      <c r="D21" s="4">
        <v>18</v>
      </c>
      <c r="E21" s="4">
        <v>18.8</v>
      </c>
      <c r="F21" s="4">
        <v>14.4</v>
      </c>
      <c r="G21" s="4">
        <v>20</v>
      </c>
      <c r="H21" s="10">
        <f>SUM(C21:G21)</f>
        <v>87</v>
      </c>
      <c r="I21" s="10">
        <f>SUM(E14,G6,E8,F12,G10)-H21</f>
        <v>-13.299999999999997</v>
      </c>
      <c r="J21" s="4">
        <f>I21*B$43</f>
        <v>-1.1617445097432393</v>
      </c>
    </row>
    <row r="22" spans="1:10" ht="15.6" x14ac:dyDescent="0.3">
      <c r="A22" s="4" t="s">
        <v>4</v>
      </c>
      <c r="B22" s="4">
        <v>3</v>
      </c>
      <c r="C22" s="5">
        <v>22</v>
      </c>
      <c r="D22" s="5">
        <v>12</v>
      </c>
      <c r="E22" s="5">
        <v>2</v>
      </c>
      <c r="F22" s="5">
        <v>17</v>
      </c>
      <c r="G22" s="5">
        <v>7</v>
      </c>
      <c r="H22" s="8"/>
      <c r="I22" s="8"/>
      <c r="J22" s="4"/>
    </row>
    <row r="23" spans="1:10" ht="15.6" x14ac:dyDescent="0.3">
      <c r="A23" s="4" t="s">
        <v>5</v>
      </c>
      <c r="C23" s="4">
        <v>10.199999999999999</v>
      </c>
      <c r="D23" s="4">
        <v>11.5</v>
      </c>
      <c r="E23" s="4">
        <v>17</v>
      </c>
      <c r="F23" s="4">
        <v>11</v>
      </c>
      <c r="G23" s="4">
        <v>15.3</v>
      </c>
      <c r="H23" s="10">
        <f>SUM(C23:G23)</f>
        <v>65</v>
      </c>
      <c r="I23" s="10">
        <f>SUM(F6,C12,D10,D14,C8)-H23</f>
        <v>-10.400000000000006</v>
      </c>
      <c r="J23" s="4">
        <f>I23*B$43</f>
        <v>-0.90843179709245858</v>
      </c>
    </row>
    <row r="24" spans="1:10" ht="15.6" x14ac:dyDescent="0.3">
      <c r="A24" s="4" t="s">
        <v>5</v>
      </c>
      <c r="B24" s="4">
        <v>4</v>
      </c>
      <c r="C24" s="5">
        <v>14</v>
      </c>
      <c r="D24" s="5">
        <v>24</v>
      </c>
      <c r="E24" s="5">
        <v>9</v>
      </c>
      <c r="F24" s="5">
        <v>4</v>
      </c>
      <c r="G24" s="5">
        <v>19</v>
      </c>
      <c r="H24" s="8"/>
      <c r="I24" s="8"/>
      <c r="J24" s="4"/>
    </row>
    <row r="25" spans="1:10" ht="15.6" x14ac:dyDescent="0.3">
      <c r="A25" s="4" t="s">
        <v>5</v>
      </c>
      <c r="C25" s="4">
        <v>10.9</v>
      </c>
      <c r="D25" s="4">
        <v>4.7</v>
      </c>
      <c r="E25" s="4">
        <v>10.9</v>
      </c>
      <c r="F25" s="4">
        <v>16.600000000000001</v>
      </c>
      <c r="G25" s="4">
        <v>9.8000000000000007</v>
      </c>
      <c r="H25" s="10">
        <f>SUM(C25:G25)</f>
        <v>52.900000000000006</v>
      </c>
      <c r="I25" s="10">
        <f>SUM(C6,F8,C14,F10,D12)-H25</f>
        <v>15.5</v>
      </c>
      <c r="J25" s="4">
        <f>I25*B$43</f>
        <v>1.3539127745127981</v>
      </c>
    </row>
    <row r="26" spans="1:10" ht="15.6" x14ac:dyDescent="0.3">
      <c r="A26" s="4" t="s">
        <v>5</v>
      </c>
      <c r="B26" s="4">
        <v>5</v>
      </c>
      <c r="C26" s="5">
        <v>6</v>
      </c>
      <c r="D26" s="5">
        <v>16</v>
      </c>
      <c r="E26" s="5">
        <v>11</v>
      </c>
      <c r="F26" s="5">
        <v>21</v>
      </c>
      <c r="G26" s="5">
        <v>1</v>
      </c>
      <c r="H26" s="8"/>
      <c r="I26" s="8"/>
      <c r="J26" s="4"/>
    </row>
    <row r="27" spans="1:10" ht="15.6" x14ac:dyDescent="0.3">
      <c r="A27" s="4" t="s">
        <v>5</v>
      </c>
      <c r="C27" s="4">
        <v>20</v>
      </c>
      <c r="D27" s="4">
        <v>21.1</v>
      </c>
      <c r="E27" s="4">
        <v>16.899999999999999</v>
      </c>
      <c r="F27" s="4">
        <v>10.9</v>
      </c>
      <c r="G27" s="4">
        <v>15</v>
      </c>
      <c r="H27" s="10">
        <f>SUM(C27:G27)</f>
        <v>83.9</v>
      </c>
      <c r="I27" s="10">
        <f>SUM(C10,E12,G8,G14,D6)-H27</f>
        <v>-12.400000000000006</v>
      </c>
      <c r="J27" s="4">
        <f>I27*B$43</f>
        <v>-1.083130219610239</v>
      </c>
    </row>
    <row r="28" spans="1:10" ht="15.6" x14ac:dyDescent="0.3">
      <c r="A28" s="4" t="s">
        <v>8</v>
      </c>
      <c r="J28" s="4"/>
    </row>
    <row r="29" spans="1:10" ht="15.6" x14ac:dyDescent="0.3">
      <c r="A29" s="4"/>
      <c r="G29" s="4" t="s">
        <v>6</v>
      </c>
      <c r="H29" s="4">
        <f>SUM(H19:H27)</f>
        <v>361</v>
      </c>
      <c r="I29" s="4">
        <f>SUM(I19:I27)</f>
        <v>-30.500000000000007</v>
      </c>
      <c r="J29" s="4">
        <f>SUM(J19:J27)</f>
        <v>-2.6641509433961512</v>
      </c>
    </row>
    <row r="30" spans="1:10" ht="15.6" x14ac:dyDescent="0.3">
      <c r="A30" s="4" t="s">
        <v>5</v>
      </c>
      <c r="F30" s="1" t="s">
        <v>9</v>
      </c>
      <c r="G30" s="4"/>
      <c r="H30" s="4">
        <f>H16+H29</f>
        <v>691.5</v>
      </c>
      <c r="I30" s="12">
        <f>SUM(I6:I14,I19:I27)</f>
        <v>-2.1316282072803006E-14</v>
      </c>
      <c r="J30" s="12">
        <f>SUM(J6:J14,J19:J27)</f>
        <v>-1.7763568394002505E-15</v>
      </c>
    </row>
    <row r="32" spans="1:10" ht="15.6" x14ac:dyDescent="0.3">
      <c r="F32" s="1" t="s">
        <v>10</v>
      </c>
      <c r="G32" s="1">
        <f>H30^2/50</f>
        <v>9563.4449999999997</v>
      </c>
    </row>
    <row r="34" spans="1:14" ht="15.6" x14ac:dyDescent="0.3">
      <c r="A34" s="13" t="s">
        <v>11</v>
      </c>
      <c r="B34" s="13"/>
      <c r="C34" s="13" t="s">
        <v>12</v>
      </c>
      <c r="D34" s="14" t="s">
        <v>12</v>
      </c>
      <c r="E34" s="13"/>
      <c r="F34" s="13" t="s">
        <v>13</v>
      </c>
      <c r="G34" s="13" t="s">
        <v>14</v>
      </c>
    </row>
    <row r="35" spans="1:14" ht="18" x14ac:dyDescent="0.3">
      <c r="A35" s="2" t="s">
        <v>15</v>
      </c>
      <c r="C35" s="4" t="s">
        <v>16</v>
      </c>
      <c r="D35" s="2">
        <v>49</v>
      </c>
      <c r="E35" s="4" t="s">
        <v>17</v>
      </c>
      <c r="F35" s="15">
        <f>SUMSQ(C6:G6,C8:G8,C10:G10,C12:G12,C14:G14,C19:G19,C21:G21,C23:G23,C25:G25,C27:G27)-G32</f>
        <v>805.42500000000109</v>
      </c>
      <c r="J35" s="3"/>
      <c r="K35" s="3"/>
      <c r="L35" s="3"/>
      <c r="M35" s="3"/>
      <c r="N35" s="3"/>
    </row>
    <row r="36" spans="1:14" ht="15.6" x14ac:dyDescent="0.3">
      <c r="A36" s="2" t="s">
        <v>18</v>
      </c>
      <c r="C36" s="4" t="s">
        <v>19</v>
      </c>
      <c r="D36" s="2">
        <v>1</v>
      </c>
      <c r="E36" s="4" t="s">
        <v>20</v>
      </c>
      <c r="F36" s="15">
        <f>(SUMSQ(H16,H29)/25)-G32</f>
        <v>18.604999999999563</v>
      </c>
      <c r="G36" s="2">
        <f>F36/D36</f>
        <v>18.604999999999563</v>
      </c>
      <c r="J36" s="3"/>
      <c r="K36" s="3"/>
      <c r="L36" s="3"/>
      <c r="M36" s="3"/>
      <c r="N36" s="3"/>
    </row>
    <row r="37" spans="1:14" ht="18" x14ac:dyDescent="0.3">
      <c r="A37" s="2" t="s">
        <v>21</v>
      </c>
      <c r="C37" s="4" t="s">
        <v>22</v>
      </c>
      <c r="D37" s="2">
        <v>24</v>
      </c>
      <c r="E37" s="4" t="s">
        <v>23</v>
      </c>
      <c r="F37" s="15">
        <f>(SUMSQ(B63:B87)/2)-G32</f>
        <v>621.81999999999971</v>
      </c>
      <c r="G37" s="2">
        <f>F37/D37</f>
        <v>25.909166666666653</v>
      </c>
      <c r="J37" s="3"/>
      <c r="K37" s="3"/>
      <c r="L37" s="3"/>
      <c r="M37" s="3"/>
      <c r="N37" s="3"/>
    </row>
    <row r="38" spans="1:14" ht="18.600000000000001" x14ac:dyDescent="0.4">
      <c r="A38" s="2" t="s">
        <v>73</v>
      </c>
      <c r="C38" s="4" t="s">
        <v>25</v>
      </c>
      <c r="D38" s="2">
        <f>2*(5-1)</f>
        <v>8</v>
      </c>
      <c r="E38" s="4" t="s">
        <v>26</v>
      </c>
      <c r="F38" s="15">
        <f>((SUMSQ(I6:I14,I19:I27))/(5*2*1))-SUMSQ(I29,I16)/(25*2*1)</f>
        <v>77.591999999999956</v>
      </c>
      <c r="G38" s="2">
        <f>F38/D38</f>
        <v>9.6989999999999945</v>
      </c>
      <c r="H38" s="2" t="s">
        <v>27</v>
      </c>
      <c r="I38" s="2" t="s">
        <v>28</v>
      </c>
      <c r="J38" s="3"/>
      <c r="K38" s="3"/>
      <c r="L38" s="3"/>
      <c r="M38" s="3"/>
      <c r="N38" s="3"/>
    </row>
    <row r="39" spans="1:14" ht="18.600000000000001" x14ac:dyDescent="0.4">
      <c r="A39" s="2" t="s">
        <v>29</v>
      </c>
      <c r="C39" s="4" t="s">
        <v>30</v>
      </c>
      <c r="D39" s="2">
        <f>D35-D36-D37-D38</f>
        <v>16</v>
      </c>
      <c r="E39" s="4" t="s">
        <v>31</v>
      </c>
      <c r="F39" s="15">
        <f>F35-F36-F37-F38</f>
        <v>87.408000000001863</v>
      </c>
      <c r="G39" s="2">
        <f>F39/D39</f>
        <v>5.4630000000001164</v>
      </c>
      <c r="H39" s="2" t="s">
        <v>32</v>
      </c>
      <c r="J39" s="3"/>
      <c r="L39" s="3"/>
      <c r="M39" s="3"/>
      <c r="N39" s="3"/>
    </row>
    <row r="40" spans="1:14" ht="15.6" x14ac:dyDescent="0.3">
      <c r="H40" s="16" t="s">
        <v>33</v>
      </c>
      <c r="J40" s="3"/>
      <c r="K40" s="3"/>
      <c r="L40" s="3"/>
      <c r="M40" s="3"/>
      <c r="N40" s="3"/>
    </row>
    <row r="41" spans="1:14" ht="19.2" x14ac:dyDescent="0.4">
      <c r="A41" s="20" t="s">
        <v>72</v>
      </c>
      <c r="G41" s="4" t="s">
        <v>70</v>
      </c>
      <c r="J41" s="19">
        <f>((SUMSQ(I6:I14,I19:I27))/(5*2*1))</f>
        <v>114.80199999999995</v>
      </c>
    </row>
    <row r="42" spans="1:14" ht="19.2" x14ac:dyDescent="0.4">
      <c r="A42" s="17" t="s">
        <v>34</v>
      </c>
      <c r="B42" s="20" t="s">
        <v>35</v>
      </c>
      <c r="G42" s="4" t="s">
        <v>71</v>
      </c>
      <c r="J42" s="19">
        <f>SUMSQ(I16,I29)/(25*2*1)</f>
        <v>37.209999999999994</v>
      </c>
    </row>
    <row r="43" spans="1:14" x14ac:dyDescent="0.25">
      <c r="A43" s="2" t="s">
        <v>34</v>
      </c>
      <c r="B43" s="15">
        <f>(G38-G39)/((5*1)*G38)</f>
        <v>8.7349211258890197E-2</v>
      </c>
    </row>
    <row r="46" spans="1:14" x14ac:dyDescent="0.25">
      <c r="A46" s="21" t="s">
        <v>11</v>
      </c>
      <c r="B46" s="21"/>
      <c r="C46" s="21" t="s">
        <v>12</v>
      </c>
      <c r="D46" s="21" t="s">
        <v>12</v>
      </c>
      <c r="E46" s="21"/>
      <c r="F46" s="21" t="s">
        <v>13</v>
      </c>
      <c r="G46" s="21" t="s">
        <v>14</v>
      </c>
      <c r="H46" s="21"/>
      <c r="I46" s="21" t="s">
        <v>36</v>
      </c>
      <c r="J46" s="21" t="s">
        <v>37</v>
      </c>
    </row>
    <row r="47" spans="1:14" ht="18" x14ac:dyDescent="0.3">
      <c r="A47" s="2" t="s">
        <v>15</v>
      </c>
      <c r="C47" s="1" t="s">
        <v>38</v>
      </c>
      <c r="D47" s="2">
        <v>49</v>
      </c>
      <c r="E47" s="1" t="s">
        <v>39</v>
      </c>
      <c r="F47" s="2">
        <v>805.42500000000109</v>
      </c>
    </row>
    <row r="48" spans="1:14" ht="15.6" x14ac:dyDescent="0.3">
      <c r="A48" s="2" t="s">
        <v>18</v>
      </c>
      <c r="C48" s="1" t="s">
        <v>19</v>
      </c>
      <c r="D48" s="2">
        <v>1</v>
      </c>
      <c r="E48" s="1" t="s">
        <v>20</v>
      </c>
      <c r="F48" s="2">
        <v>18.604999999999563</v>
      </c>
      <c r="G48" s="2">
        <v>18.604999999999563</v>
      </c>
    </row>
    <row r="49" spans="1:10" ht="18" x14ac:dyDescent="0.3">
      <c r="A49" s="22" t="s">
        <v>21</v>
      </c>
      <c r="B49" s="22"/>
      <c r="C49" s="23" t="s">
        <v>40</v>
      </c>
      <c r="D49" s="22">
        <v>24</v>
      </c>
      <c r="E49" s="23" t="s">
        <v>23</v>
      </c>
      <c r="F49" s="22">
        <v>621.82000000000005</v>
      </c>
      <c r="G49" s="22">
        <v>25.909166666666653</v>
      </c>
    </row>
    <row r="50" spans="1:10" ht="19.2" x14ac:dyDescent="0.4">
      <c r="A50" s="2" t="s">
        <v>41</v>
      </c>
      <c r="C50" s="1" t="s">
        <v>42</v>
      </c>
      <c r="D50" s="2">
        <v>24</v>
      </c>
      <c r="E50" s="2" t="s">
        <v>43</v>
      </c>
      <c r="F50" s="15">
        <f>F49-B43*5*(1)*(2*F51/((1)*(1+5*B43))-F52)</f>
        <v>502.39124650161659</v>
      </c>
      <c r="G50" s="2">
        <f>F50/D50</f>
        <v>20.932968604234024</v>
      </c>
      <c r="I50" s="15">
        <f>G50/G53</f>
        <v>3.8317716646958773</v>
      </c>
      <c r="J50" s="15">
        <f>FDIST(I50,24,16)</f>
        <v>3.7823006268901988E-3</v>
      </c>
    </row>
    <row r="51" spans="1:10" ht="18" x14ac:dyDescent="0.4">
      <c r="A51" s="22" t="s">
        <v>44</v>
      </c>
      <c r="B51" s="22"/>
      <c r="C51" s="23"/>
      <c r="D51" s="22"/>
      <c r="E51" s="23" t="s">
        <v>45</v>
      </c>
      <c r="F51" s="15">
        <f>(SUMSQ(H6:H14,H19:H27)/5)-G32-F48</f>
        <v>252.18000000000029</v>
      </c>
      <c r="G51" s="22"/>
    </row>
    <row r="52" spans="1:10" ht="18.600000000000001" x14ac:dyDescent="0.4">
      <c r="A52" s="2" t="s">
        <v>24</v>
      </c>
      <c r="C52" s="1" t="s">
        <v>25</v>
      </c>
      <c r="D52" s="2">
        <v>8</v>
      </c>
      <c r="E52" s="1" t="s">
        <v>26</v>
      </c>
      <c r="F52" s="2">
        <v>77.591999999999999</v>
      </c>
      <c r="G52" s="2">
        <v>9.6989999999999945</v>
      </c>
      <c r="H52" s="2" t="s">
        <v>27</v>
      </c>
    </row>
    <row r="53" spans="1:10" ht="18.600000000000001" x14ac:dyDescent="0.4">
      <c r="A53" s="2" t="s">
        <v>29</v>
      </c>
      <c r="C53" s="1" t="s">
        <v>30</v>
      </c>
      <c r="D53" s="2">
        <v>16</v>
      </c>
      <c r="E53" s="1" t="s">
        <v>31</v>
      </c>
      <c r="F53" s="2">
        <v>87.408000000001863</v>
      </c>
      <c r="G53" s="2">
        <v>5.4630000000001164</v>
      </c>
      <c r="H53" s="2" t="s">
        <v>32</v>
      </c>
    </row>
    <row r="54" spans="1:10" ht="15.6" x14ac:dyDescent="0.3">
      <c r="C54" s="1"/>
      <c r="E54" s="1"/>
      <c r="H54" s="16" t="s">
        <v>33</v>
      </c>
    </row>
    <row r="55" spans="1:10" ht="15.6" x14ac:dyDescent="0.3">
      <c r="C55" s="1"/>
      <c r="E55" s="1"/>
      <c r="H55" s="16"/>
    </row>
    <row r="56" spans="1:10" ht="15.6" x14ac:dyDescent="0.3">
      <c r="A56" s="2" t="s">
        <v>78</v>
      </c>
      <c r="C56" s="1"/>
      <c r="E56" s="1"/>
      <c r="H56" s="16"/>
    </row>
    <row r="57" spans="1:10" ht="15.6" x14ac:dyDescent="0.3">
      <c r="C57" s="1"/>
      <c r="E57" s="1"/>
      <c r="H57" s="16"/>
    </row>
    <row r="58" spans="1:10" ht="15" customHeight="1" x14ac:dyDescent="0.3">
      <c r="A58" s="1" t="s">
        <v>79</v>
      </c>
      <c r="F58" s="24"/>
      <c r="G58" s="24"/>
      <c r="H58" s="24"/>
    </row>
    <row r="59" spans="1:10" ht="19.2" x14ac:dyDescent="0.4">
      <c r="A59" s="18" t="s">
        <v>46</v>
      </c>
      <c r="F59" s="24"/>
      <c r="G59" s="24"/>
      <c r="H59" s="24"/>
    </row>
    <row r="60" spans="1:10" ht="18" x14ac:dyDescent="0.4">
      <c r="A60" s="4" t="s">
        <v>47</v>
      </c>
      <c r="F60" s="24"/>
      <c r="G60" s="25"/>
      <c r="H60" s="24"/>
    </row>
    <row r="61" spans="1:10" x14ac:dyDescent="0.25">
      <c r="F61" s="24"/>
      <c r="G61" s="24"/>
      <c r="H61" s="24"/>
    </row>
    <row r="62" spans="1:10" ht="15.6" x14ac:dyDescent="0.3">
      <c r="A62" s="1" t="s">
        <v>48</v>
      </c>
      <c r="B62" s="1" t="s">
        <v>49</v>
      </c>
      <c r="C62" s="1" t="s">
        <v>50</v>
      </c>
      <c r="D62" s="1" t="s">
        <v>51</v>
      </c>
      <c r="E62" s="2" t="s">
        <v>52</v>
      </c>
    </row>
    <row r="63" spans="1:10" x14ac:dyDescent="0.25">
      <c r="A63" s="26">
        <v>1</v>
      </c>
      <c r="B63" s="27">
        <f>SUM(C10,G27)</f>
        <v>30</v>
      </c>
      <c r="C63" s="28">
        <f>B63+J10+J27</f>
        <v>29.37982060006188</v>
      </c>
      <c r="D63" s="29">
        <f>C63/2</f>
        <v>14.68991030003094</v>
      </c>
      <c r="E63" s="30">
        <f>B63/2</f>
        <v>15</v>
      </c>
      <c r="G63" s="31">
        <v>1</v>
      </c>
      <c r="H63" s="2" t="s">
        <v>53</v>
      </c>
    </row>
    <row r="64" spans="1:10" x14ac:dyDescent="0.25">
      <c r="A64" s="32">
        <v>2</v>
      </c>
      <c r="B64" s="27">
        <f>SUM(E23,D10)</f>
        <v>29.4</v>
      </c>
      <c r="C64" s="33">
        <v>28.95</v>
      </c>
      <c r="D64" s="30">
        <f t="shared" ref="D64:D87" si="0">C64/2</f>
        <v>14.475</v>
      </c>
      <c r="E64" s="30">
        <f t="shared" ref="E64:E87" si="1">B64/2</f>
        <v>14.7</v>
      </c>
      <c r="G64" s="31">
        <v>13</v>
      </c>
      <c r="H64" s="2" t="s">
        <v>54</v>
      </c>
    </row>
    <row r="65" spans="1:8" x14ac:dyDescent="0.25">
      <c r="A65" s="32">
        <v>3</v>
      </c>
      <c r="B65" s="27">
        <f>SUM(E10,E19)</f>
        <v>36.400000000000006</v>
      </c>
      <c r="C65" s="33">
        <v>36</v>
      </c>
      <c r="D65" s="30">
        <f t="shared" si="0"/>
        <v>18</v>
      </c>
      <c r="E65" s="30">
        <f t="shared" si="1"/>
        <v>18.200000000000003</v>
      </c>
      <c r="G65" s="31">
        <v>25</v>
      </c>
      <c r="H65" s="2" t="s">
        <v>55</v>
      </c>
    </row>
    <row r="66" spans="1:8" x14ac:dyDescent="0.25">
      <c r="A66" s="32">
        <v>4</v>
      </c>
      <c r="B66" s="27">
        <f>SUM(F10,F25)</f>
        <v>37.1</v>
      </c>
      <c r="C66" s="33">
        <v>38.909999999999997</v>
      </c>
      <c r="D66" s="30">
        <f t="shared" si="0"/>
        <v>19.454999999999998</v>
      </c>
      <c r="E66" s="30">
        <f t="shared" si="1"/>
        <v>18.55</v>
      </c>
    </row>
    <row r="67" spans="1:8" x14ac:dyDescent="0.25">
      <c r="A67" s="32">
        <v>5</v>
      </c>
      <c r="B67" s="27">
        <f>SUM(G10,C21)</f>
        <v>28.8</v>
      </c>
      <c r="C67" s="33">
        <v>28.09</v>
      </c>
      <c r="D67" s="30">
        <f t="shared" si="0"/>
        <v>14.045</v>
      </c>
      <c r="E67" s="30">
        <f t="shared" si="1"/>
        <v>14.4</v>
      </c>
    </row>
    <row r="68" spans="1:8" x14ac:dyDescent="0.25">
      <c r="A68" s="32">
        <v>6</v>
      </c>
      <c r="B68" s="27">
        <f>SUM(G14,C27)</f>
        <v>36</v>
      </c>
      <c r="C68" s="33">
        <v>35.26</v>
      </c>
      <c r="D68" s="30">
        <f t="shared" si="0"/>
        <v>17.63</v>
      </c>
      <c r="E68" s="30">
        <f t="shared" si="1"/>
        <v>18</v>
      </c>
    </row>
    <row r="69" spans="1:8" x14ac:dyDescent="0.25">
      <c r="A69" s="32">
        <v>7</v>
      </c>
      <c r="B69" s="27">
        <f>SUM(D14,G23)</f>
        <v>30.5</v>
      </c>
      <c r="C69" s="33">
        <v>29.93</v>
      </c>
      <c r="D69" s="30">
        <f t="shared" si="0"/>
        <v>14.965</v>
      </c>
      <c r="E69" s="30">
        <f t="shared" si="1"/>
        <v>15.25</v>
      </c>
    </row>
    <row r="70" spans="1:8" x14ac:dyDescent="0.25">
      <c r="A70" s="32">
        <v>8</v>
      </c>
      <c r="B70" s="27">
        <v>31.8</v>
      </c>
      <c r="C70" s="33">
        <v>31.28</v>
      </c>
      <c r="D70" s="30">
        <f t="shared" si="0"/>
        <v>15.64</v>
      </c>
      <c r="E70" s="30">
        <f t="shared" si="1"/>
        <v>15.9</v>
      </c>
    </row>
    <row r="71" spans="1:8" x14ac:dyDescent="0.25">
      <c r="A71" s="32">
        <v>9</v>
      </c>
      <c r="B71" s="27">
        <v>22.8</v>
      </c>
      <c r="C71" s="33">
        <v>24.49</v>
      </c>
      <c r="D71" s="30">
        <f t="shared" si="0"/>
        <v>12.244999999999999</v>
      </c>
      <c r="E71" s="30">
        <f t="shared" si="1"/>
        <v>11.4</v>
      </c>
    </row>
    <row r="72" spans="1:8" x14ac:dyDescent="0.25">
      <c r="A72" s="32">
        <v>10</v>
      </c>
      <c r="B72" s="27">
        <v>36</v>
      </c>
      <c r="C72" s="33">
        <v>35.17</v>
      </c>
      <c r="D72" s="30">
        <f t="shared" si="0"/>
        <v>17.585000000000001</v>
      </c>
      <c r="E72" s="30">
        <f t="shared" si="1"/>
        <v>18</v>
      </c>
    </row>
    <row r="73" spans="1:8" x14ac:dyDescent="0.25">
      <c r="A73" s="32">
        <v>11</v>
      </c>
      <c r="B73" s="27">
        <v>30.3</v>
      </c>
      <c r="C73" s="33">
        <v>29.59</v>
      </c>
      <c r="D73" s="30">
        <f t="shared" si="0"/>
        <v>14.795</v>
      </c>
      <c r="E73" s="30">
        <f t="shared" si="1"/>
        <v>15.15</v>
      </c>
    </row>
    <row r="74" spans="1:8" x14ac:dyDescent="0.25">
      <c r="A74" s="32">
        <v>12</v>
      </c>
      <c r="B74" s="27">
        <v>24.8</v>
      </c>
      <c r="C74" s="33">
        <v>24.26</v>
      </c>
      <c r="D74" s="30">
        <f t="shared" si="0"/>
        <v>12.13</v>
      </c>
      <c r="E74" s="30">
        <f t="shared" si="1"/>
        <v>12.4</v>
      </c>
    </row>
    <row r="75" spans="1:8" x14ac:dyDescent="0.25">
      <c r="A75" s="26">
        <v>13</v>
      </c>
      <c r="B75" s="27">
        <v>26.1</v>
      </c>
      <c r="C75" s="33">
        <v>25.61</v>
      </c>
      <c r="D75" s="30">
        <f t="shared" si="0"/>
        <v>12.805</v>
      </c>
      <c r="E75" s="30">
        <f t="shared" si="1"/>
        <v>13.05</v>
      </c>
    </row>
    <row r="76" spans="1:8" x14ac:dyDescent="0.25">
      <c r="A76" s="32">
        <v>14</v>
      </c>
      <c r="B76" s="27">
        <v>22.8</v>
      </c>
      <c r="C76" s="33">
        <v>24.52</v>
      </c>
      <c r="D76" s="30">
        <f t="shared" si="0"/>
        <v>12.26</v>
      </c>
      <c r="E76" s="30">
        <f t="shared" si="1"/>
        <v>11.4</v>
      </c>
    </row>
    <row r="77" spans="1:8" x14ac:dyDescent="0.25">
      <c r="A77" s="32">
        <v>15</v>
      </c>
      <c r="B77" s="27">
        <v>28.6</v>
      </c>
      <c r="C77" s="33">
        <v>27.8</v>
      </c>
      <c r="D77" s="30">
        <f t="shared" si="0"/>
        <v>13.9</v>
      </c>
      <c r="E77" s="30">
        <f t="shared" si="1"/>
        <v>14.3</v>
      </c>
    </row>
    <row r="78" spans="1:8" x14ac:dyDescent="0.25">
      <c r="A78" s="32">
        <v>16</v>
      </c>
      <c r="B78" s="27">
        <v>34.1</v>
      </c>
      <c r="C78" s="33">
        <v>34.56</v>
      </c>
      <c r="D78" s="30">
        <f t="shared" si="0"/>
        <v>17.28</v>
      </c>
      <c r="E78" s="30">
        <f t="shared" si="1"/>
        <v>17.05</v>
      </c>
    </row>
    <row r="79" spans="1:8" x14ac:dyDescent="0.25">
      <c r="A79" s="32">
        <v>17</v>
      </c>
      <c r="B79" s="27">
        <v>17.7</v>
      </c>
      <c r="C79" s="33">
        <v>18.329999999999998</v>
      </c>
      <c r="D79" s="30">
        <f t="shared" si="0"/>
        <v>9.1649999999999991</v>
      </c>
      <c r="E79" s="30">
        <f t="shared" si="1"/>
        <v>8.85</v>
      </c>
    </row>
    <row r="80" spans="1:8" x14ac:dyDescent="0.25">
      <c r="A80" s="32">
        <v>18</v>
      </c>
      <c r="B80" s="27">
        <v>24.7</v>
      </c>
      <c r="C80" s="33">
        <v>25.38</v>
      </c>
      <c r="D80" s="30">
        <f t="shared" si="0"/>
        <v>12.69</v>
      </c>
      <c r="E80" s="30">
        <f t="shared" si="1"/>
        <v>12.35</v>
      </c>
    </row>
    <row r="81" spans="1:13" x14ac:dyDescent="0.25">
      <c r="A81" s="32">
        <v>19</v>
      </c>
      <c r="B81" s="27">
        <v>28</v>
      </c>
      <c r="C81" s="33">
        <v>30.89</v>
      </c>
      <c r="D81" s="30">
        <f t="shared" si="0"/>
        <v>15.445</v>
      </c>
      <c r="E81" s="30">
        <f t="shared" si="1"/>
        <v>14</v>
      </c>
    </row>
    <row r="82" spans="1:13" x14ac:dyDescent="0.25">
      <c r="A82" s="32">
        <v>20</v>
      </c>
      <c r="B82" s="27">
        <v>28.1</v>
      </c>
      <c r="C82" s="33">
        <v>28.47</v>
      </c>
      <c r="D82" s="30">
        <f t="shared" si="0"/>
        <v>14.234999999999999</v>
      </c>
      <c r="E82" s="30">
        <f t="shared" si="1"/>
        <v>14.05</v>
      </c>
    </row>
    <row r="83" spans="1:13" x14ac:dyDescent="0.25">
      <c r="A83" s="32">
        <v>21</v>
      </c>
      <c r="B83" s="27">
        <v>25</v>
      </c>
      <c r="C83" s="33">
        <v>23.88</v>
      </c>
      <c r="D83" s="30">
        <f t="shared" si="0"/>
        <v>11.94</v>
      </c>
      <c r="E83" s="30">
        <f t="shared" si="1"/>
        <v>12.5</v>
      </c>
    </row>
    <row r="84" spans="1:13" x14ac:dyDescent="0.25">
      <c r="A84" s="32">
        <v>22</v>
      </c>
      <c r="B84" s="27">
        <v>17.2</v>
      </c>
      <c r="C84" s="33">
        <v>16.25</v>
      </c>
      <c r="D84" s="30">
        <f t="shared" si="0"/>
        <v>8.125</v>
      </c>
      <c r="E84" s="30">
        <f t="shared" si="1"/>
        <v>8.6</v>
      </c>
    </row>
    <row r="85" spans="1:13" x14ac:dyDescent="0.25">
      <c r="A85" s="32">
        <v>23</v>
      </c>
      <c r="B85" s="27">
        <v>15.5</v>
      </c>
      <c r="C85" s="33">
        <v>14.6</v>
      </c>
      <c r="D85" s="30">
        <f t="shared" si="0"/>
        <v>7.3</v>
      </c>
      <c r="E85" s="30">
        <f t="shared" si="1"/>
        <v>7.75</v>
      </c>
    </row>
    <row r="86" spans="1:13" x14ac:dyDescent="0.25">
      <c r="A86" s="32">
        <v>24</v>
      </c>
      <c r="B86" s="27">
        <v>10.6</v>
      </c>
      <c r="C86" s="33">
        <f>B86+J12+J25</f>
        <v>11.910238168883353</v>
      </c>
      <c r="D86" s="30">
        <f>C86/2</f>
        <v>5.9551190844416766</v>
      </c>
      <c r="E86" s="30">
        <f t="shared" si="1"/>
        <v>5.3</v>
      </c>
    </row>
    <row r="87" spans="1:13" x14ac:dyDescent="0.25">
      <c r="A87" s="26">
        <v>25</v>
      </c>
      <c r="B87" s="27">
        <v>39.200000000000003</v>
      </c>
      <c r="C87" s="33">
        <v>37.99</v>
      </c>
      <c r="D87" s="30">
        <f t="shared" si="0"/>
        <v>18.995000000000001</v>
      </c>
      <c r="E87" s="30">
        <f t="shared" si="1"/>
        <v>19.600000000000001</v>
      </c>
    </row>
    <row r="89" spans="1:13" x14ac:dyDescent="0.25">
      <c r="A89" s="2" t="s">
        <v>56</v>
      </c>
    </row>
    <row r="91" spans="1:13" ht="18" x14ac:dyDescent="0.4">
      <c r="D91" s="4" t="s">
        <v>57</v>
      </c>
      <c r="J91" s="15">
        <f>SQRT((2*G53/2)*(1+(2-1)*B43))</f>
        <v>2.4372502417904167</v>
      </c>
    </row>
    <row r="92" spans="1:13" ht="18" x14ac:dyDescent="0.4">
      <c r="A92" s="4" t="s">
        <v>58</v>
      </c>
      <c r="D92" s="4" t="s">
        <v>59</v>
      </c>
      <c r="J92" s="15">
        <f>SQRT((2*G53/2)*(1+2*B43))</f>
        <v>2.5332543263981155</v>
      </c>
    </row>
    <row r="93" spans="1:13" ht="18.600000000000001" x14ac:dyDescent="0.4">
      <c r="A93" s="2" t="s">
        <v>60</v>
      </c>
      <c r="B93" s="15">
        <f>((1+((2*5*B43))/(5+1)))*G53</f>
        <v>6.2583145685123283</v>
      </c>
      <c r="D93" s="4" t="s">
        <v>61</v>
      </c>
      <c r="E93" s="1"/>
      <c r="F93" s="34"/>
      <c r="G93" s="36" t="s">
        <v>62</v>
      </c>
      <c r="H93" s="36"/>
      <c r="I93" s="36"/>
      <c r="J93" s="36"/>
      <c r="K93" s="34"/>
      <c r="L93" s="34"/>
      <c r="M93" s="34"/>
    </row>
    <row r="94" spans="1:13" x14ac:dyDescent="0.25">
      <c r="D94" s="15">
        <f>SQRT((2*B93/2))</f>
        <v>2.5016623610136377</v>
      </c>
      <c r="F94" s="34"/>
      <c r="G94" s="36"/>
      <c r="H94" s="36"/>
      <c r="I94" s="36"/>
      <c r="J94" s="36"/>
      <c r="K94" s="34"/>
      <c r="L94" s="34"/>
      <c r="M94" s="34"/>
    </row>
    <row r="95" spans="1:13" x14ac:dyDescent="0.25">
      <c r="A95" s="2" t="s">
        <v>63</v>
      </c>
      <c r="B95" s="15">
        <f>TINV(0.1,16)*SQRT(2*B93/2)</f>
        <v>4.3676114796484145</v>
      </c>
      <c r="F95" s="34"/>
      <c r="G95" s="36"/>
      <c r="H95" s="36"/>
      <c r="I95" s="36"/>
      <c r="J95" s="36"/>
      <c r="K95" s="34"/>
      <c r="L95" s="34"/>
      <c r="M95" s="34"/>
    </row>
    <row r="96" spans="1:13" x14ac:dyDescent="0.25">
      <c r="G96" s="34"/>
      <c r="H96" s="34"/>
      <c r="I96" s="34"/>
      <c r="J96" s="34"/>
    </row>
    <row r="97" spans="1:12" x14ac:dyDescent="0.25">
      <c r="B97" s="2" t="s">
        <v>64</v>
      </c>
      <c r="D97" s="30">
        <f>D63+B95</f>
        <v>19.057521779679355</v>
      </c>
      <c r="G97" s="34"/>
      <c r="H97" s="34"/>
      <c r="I97" s="34"/>
      <c r="J97" s="34"/>
    </row>
    <row r="98" spans="1:12" x14ac:dyDescent="0.25">
      <c r="D98" s="30"/>
    </row>
    <row r="99" spans="1:12" x14ac:dyDescent="0.25">
      <c r="A99" s="2" t="s">
        <v>77</v>
      </c>
    </row>
    <row r="100" spans="1:12" ht="19.2" x14ac:dyDescent="0.4">
      <c r="A100" s="4" t="s">
        <v>74</v>
      </c>
      <c r="D100" s="15">
        <f>(F52+F53)/((25-1)*(1))</f>
        <v>6.8750000000000782</v>
      </c>
      <c r="L100" s="35"/>
    </row>
    <row r="102" spans="1:12" ht="18" x14ac:dyDescent="0.4">
      <c r="A102" s="2" t="s">
        <v>75</v>
      </c>
      <c r="D102" s="4" t="s">
        <v>76</v>
      </c>
      <c r="G102" s="15">
        <f>(D100/B93)*100</f>
        <v>109.85385801139655</v>
      </c>
    </row>
  </sheetData>
  <mergeCells count="1">
    <mergeCell ref="G93:J95"/>
  </mergeCells>
  <pageMargins left="0.7" right="0.7" top="0.75" bottom="0.75" header="0.3" footer="0.3"/>
  <pageSetup orientation="landscape" r:id="rId1"/>
  <rowBreaks count="1" manualBreakCount="1">
    <brk id="8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Crop and Soil Science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Kling</dc:creator>
  <cp:lastModifiedBy>Kling</cp:lastModifiedBy>
  <cp:lastPrinted>2013-11-13T14:24:13Z</cp:lastPrinted>
  <dcterms:created xsi:type="dcterms:W3CDTF">2013-11-13T05:07:28Z</dcterms:created>
  <dcterms:modified xsi:type="dcterms:W3CDTF">2013-11-13T14:24:28Z</dcterms:modified>
</cp:coreProperties>
</file>